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gdem\Documents\IRC Ghana\Full Coverage District Work\Masterplan\"/>
    </mc:Choice>
  </mc:AlternateContent>
  <bookViews>
    <workbookView xWindow="0" yWindow="0" windowWidth="20490" windowHeight="7350"/>
  </bookViews>
  <sheets>
    <sheet name="Point Sources_Asset_Register_" sheetId="1" r:id="rId1"/>
  </sheets>
  <externalReferences>
    <externalReference r:id="rId2"/>
  </externalReferences>
  <definedNames>
    <definedName name="_xlnm._FilterDatabase" localSheetId="0" hidden="1">'Point Sources_Asset_Register_'!$B$7:$AV$173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AD6" i="1" s="1"/>
  <c r="AH6" i="1"/>
  <c r="AL6" i="1"/>
  <c r="AP6" i="1" s="1"/>
  <c r="AT6" i="1" s="1"/>
  <c r="AX6" i="1"/>
  <c r="BB6" i="1" s="1"/>
  <c r="BF6" i="1" s="1"/>
  <c r="BJ6" i="1" s="1"/>
  <c r="BN6" i="1" s="1"/>
  <c r="BR6" i="1" s="1"/>
  <c r="BV6" i="1" s="1"/>
  <c r="BZ6" i="1" s="1"/>
  <c r="A8" i="1"/>
  <c r="B8" i="1"/>
  <c r="C8" i="1"/>
  <c r="D8" i="1"/>
  <c r="E8" i="1"/>
  <c r="F8" i="1"/>
  <c r="G8" i="1"/>
  <c r="H8" i="1"/>
  <c r="I8" i="1"/>
  <c r="U8" i="1" s="1"/>
  <c r="J8" i="1"/>
  <c r="T8" i="1" s="1"/>
  <c r="K8" i="1"/>
  <c r="L8" i="1"/>
  <c r="M8" i="1"/>
  <c r="W8" i="1" s="1"/>
  <c r="N8" i="1"/>
  <c r="O8" i="1"/>
  <c r="Q8" i="1"/>
  <c r="R8" i="1"/>
  <c r="Y8" i="1" s="1"/>
  <c r="S8" i="1"/>
  <c r="V8" i="1"/>
  <c r="X8" i="1"/>
  <c r="AD8" i="1"/>
  <c r="AE8" i="1"/>
  <c r="AT8" i="1"/>
  <c r="AU8" i="1"/>
  <c r="BJ8" i="1"/>
  <c r="BK8" i="1"/>
  <c r="BZ8" i="1"/>
  <c r="CA8" i="1"/>
  <c r="A9" i="1"/>
  <c r="B9" i="1"/>
  <c r="C9" i="1"/>
  <c r="D9" i="1"/>
  <c r="E9" i="1"/>
  <c r="F9" i="1"/>
  <c r="G9" i="1"/>
  <c r="H9" i="1"/>
  <c r="I9" i="1"/>
  <c r="U9" i="1" s="1"/>
  <c r="J9" i="1"/>
  <c r="T9" i="1" s="1"/>
  <c r="K9" i="1"/>
  <c r="L9" i="1"/>
  <c r="M9" i="1"/>
  <c r="N9" i="1"/>
  <c r="O9" i="1"/>
  <c r="Q9" i="1"/>
  <c r="X9" i="1" s="1"/>
  <c r="R9" i="1"/>
  <c r="Y9" i="1" s="1"/>
  <c r="S9" i="1"/>
  <c r="V9" i="1"/>
  <c r="W9" i="1"/>
  <c r="Z9" i="1"/>
  <c r="AD9" i="1"/>
  <c r="AH9" i="1"/>
  <c r="AL9" i="1"/>
  <c r="AP9" i="1"/>
  <c r="AT9" i="1"/>
  <c r="AX9" i="1"/>
  <c r="BB9" i="1"/>
  <c r="BF9" i="1"/>
  <c r="BJ9" i="1"/>
  <c r="BN9" i="1"/>
  <c r="BR9" i="1"/>
  <c r="BV9" i="1"/>
  <c r="BZ9" i="1"/>
  <c r="A10" i="1"/>
  <c r="B10" i="1"/>
  <c r="C10" i="1"/>
  <c r="D10" i="1"/>
  <c r="E10" i="1"/>
  <c r="F10" i="1"/>
  <c r="G10" i="1"/>
  <c r="H10" i="1"/>
  <c r="I10" i="1"/>
  <c r="U10" i="1" s="1"/>
  <c r="J10" i="1"/>
  <c r="T10" i="1" s="1"/>
  <c r="K10" i="1"/>
  <c r="L10" i="1"/>
  <c r="M10" i="1"/>
  <c r="N10" i="1"/>
  <c r="O10" i="1"/>
  <c r="Q10" i="1"/>
  <c r="X10" i="1" s="1"/>
  <c r="R10" i="1"/>
  <c r="S10" i="1"/>
  <c r="V10" i="1"/>
  <c r="W10" i="1" s="1"/>
  <c r="Z10" i="1"/>
  <c r="AD10" i="1"/>
  <c r="AH10" i="1"/>
  <c r="AL10" i="1"/>
  <c r="AP10" i="1"/>
  <c r="AT10" i="1"/>
  <c r="AX10" i="1"/>
  <c r="BB10" i="1"/>
  <c r="BF10" i="1"/>
  <c r="BJ10" i="1"/>
  <c r="BN10" i="1"/>
  <c r="BR10" i="1"/>
  <c r="BS10" i="1"/>
  <c r="BV10" i="1"/>
  <c r="BZ10" i="1"/>
  <c r="A11" i="1"/>
  <c r="B11" i="1"/>
  <c r="C11" i="1"/>
  <c r="D11" i="1"/>
  <c r="E11" i="1"/>
  <c r="F11" i="1"/>
  <c r="G11" i="1"/>
  <c r="H11" i="1"/>
  <c r="I11" i="1"/>
  <c r="U11" i="1" s="1"/>
  <c r="J11" i="1"/>
  <c r="T11" i="1" s="1"/>
  <c r="K11" i="1"/>
  <c r="L11" i="1"/>
  <c r="M11" i="1"/>
  <c r="W11" i="1" s="1"/>
  <c r="N11" i="1"/>
  <c r="O11" i="1"/>
  <c r="Q11" i="1"/>
  <c r="X11" i="1" s="1"/>
  <c r="R11" i="1"/>
  <c r="Y11" i="1" s="1"/>
  <c r="S11" i="1"/>
  <c r="V11" i="1"/>
  <c r="AX11" i="1"/>
  <c r="CA11" i="1"/>
  <c r="A12" i="1"/>
  <c r="B12" i="1"/>
  <c r="C12" i="1"/>
  <c r="D12" i="1"/>
  <c r="E12" i="1"/>
  <c r="F12" i="1"/>
  <c r="G12" i="1"/>
  <c r="H12" i="1"/>
  <c r="S12" i="1" s="1"/>
  <c r="I12" i="1"/>
  <c r="J12" i="1"/>
  <c r="K12" i="1"/>
  <c r="L12" i="1"/>
  <c r="N12" i="1"/>
  <c r="O12" i="1"/>
  <c r="A13" i="1"/>
  <c r="B13" i="1"/>
  <c r="C13" i="1"/>
  <c r="D13" i="1"/>
  <c r="E13" i="1"/>
  <c r="F13" i="1"/>
  <c r="G13" i="1"/>
  <c r="H13" i="1"/>
  <c r="S13" i="1" s="1"/>
  <c r="I13" i="1"/>
  <c r="J13" i="1"/>
  <c r="K13" i="1"/>
  <c r="L13" i="1"/>
  <c r="V13" i="1" s="1"/>
  <c r="M13" i="1"/>
  <c r="N13" i="1"/>
  <c r="O13" i="1"/>
  <c r="Q13" i="1"/>
  <c r="X13" i="1" s="1"/>
  <c r="R13" i="1"/>
  <c r="Y13" i="1" s="1"/>
  <c r="W13" i="1"/>
  <c r="BP13" i="1"/>
  <c r="A14" i="1"/>
  <c r="B14" i="1"/>
  <c r="C14" i="1"/>
  <c r="D14" i="1"/>
  <c r="E14" i="1"/>
  <c r="F14" i="1"/>
  <c r="G14" i="1"/>
  <c r="H14" i="1"/>
  <c r="I14" i="1"/>
  <c r="J14" i="1"/>
  <c r="T14" i="1" s="1"/>
  <c r="U14" i="1" s="1"/>
  <c r="K14" i="1"/>
  <c r="L14" i="1"/>
  <c r="N14" i="1"/>
  <c r="O14" i="1"/>
  <c r="Q14" i="1"/>
  <c r="X14" i="1" s="1"/>
  <c r="S14" i="1"/>
  <c r="A15" i="1"/>
  <c r="B15" i="1"/>
  <c r="C15" i="1"/>
  <c r="D15" i="1"/>
  <c r="E15" i="1"/>
  <c r="F15" i="1"/>
  <c r="G15" i="1"/>
  <c r="H15" i="1"/>
  <c r="I15" i="1"/>
  <c r="J15" i="1"/>
  <c r="T15" i="1" s="1"/>
  <c r="U15" i="1" s="1"/>
  <c r="K15" i="1"/>
  <c r="L15" i="1"/>
  <c r="N15" i="1"/>
  <c r="O15" i="1"/>
  <c r="Q15" i="1"/>
  <c r="S15" i="1"/>
  <c r="X15" i="1"/>
  <c r="BN15" i="1"/>
  <c r="A16" i="1"/>
  <c r="B16" i="1"/>
  <c r="C16" i="1"/>
  <c r="D16" i="1"/>
  <c r="E16" i="1"/>
  <c r="F16" i="1"/>
  <c r="G16" i="1"/>
  <c r="H16" i="1"/>
  <c r="I16" i="1"/>
  <c r="U16" i="1" s="1"/>
  <c r="J16" i="1"/>
  <c r="T16" i="1" s="1"/>
  <c r="K16" i="1"/>
  <c r="L16" i="1"/>
  <c r="M16" i="1"/>
  <c r="N16" i="1"/>
  <c r="O16" i="1"/>
  <c r="Q16" i="1"/>
  <c r="X16" i="1" s="1"/>
  <c r="R16" i="1"/>
  <c r="Y16" i="1" s="1"/>
  <c r="S16" i="1"/>
  <c r="V16" i="1"/>
  <c r="W16" i="1"/>
  <c r="Z16" i="1"/>
  <c r="AM16" i="1"/>
  <c r="AP16" i="1"/>
  <c r="BC16" i="1"/>
  <c r="BF16" i="1"/>
  <c r="BS16" i="1"/>
  <c r="BV16" i="1"/>
  <c r="A17" i="1"/>
  <c r="B17" i="1"/>
  <c r="C17" i="1"/>
  <c r="D17" i="1"/>
  <c r="E17" i="1"/>
  <c r="F17" i="1"/>
  <c r="G17" i="1"/>
  <c r="H17" i="1"/>
  <c r="I17" i="1"/>
  <c r="U17" i="1" s="1"/>
  <c r="J17" i="1"/>
  <c r="T17" i="1" s="1"/>
  <c r="K17" i="1"/>
  <c r="L17" i="1"/>
  <c r="M17" i="1"/>
  <c r="W17" i="1" s="1"/>
  <c r="N17" i="1"/>
  <c r="O17" i="1"/>
  <c r="Q17" i="1"/>
  <c r="X17" i="1" s="1"/>
  <c r="R17" i="1"/>
  <c r="Y17" i="1" s="1"/>
  <c r="S17" i="1"/>
  <c r="V17" i="1"/>
  <c r="Z17" i="1"/>
  <c r="AE17" i="1"/>
  <c r="AH17" i="1"/>
  <c r="AP17" i="1"/>
  <c r="AU17" i="1"/>
  <c r="AX17" i="1"/>
  <c r="BF17" i="1"/>
  <c r="BK17" i="1"/>
  <c r="BN17" i="1"/>
  <c r="BV17" i="1"/>
  <c r="A18" i="1"/>
  <c r="B18" i="1"/>
  <c r="C18" i="1"/>
  <c r="D18" i="1"/>
  <c r="E18" i="1"/>
  <c r="F18" i="1"/>
  <c r="G18" i="1"/>
  <c r="H18" i="1"/>
  <c r="I18" i="1"/>
  <c r="U18" i="1" s="1"/>
  <c r="J18" i="1"/>
  <c r="T18" i="1" s="1"/>
  <c r="K18" i="1"/>
  <c r="L18" i="1"/>
  <c r="M18" i="1"/>
  <c r="W18" i="1" s="1"/>
  <c r="N18" i="1"/>
  <c r="O18" i="1"/>
  <c r="Q18" i="1"/>
  <c r="X18" i="1" s="1"/>
  <c r="R18" i="1"/>
  <c r="Y18" i="1" s="1"/>
  <c r="S18" i="1"/>
  <c r="V18" i="1"/>
  <c r="Z18" i="1"/>
  <c r="AM18" i="1"/>
  <c r="AP18" i="1"/>
  <c r="BF18" i="1"/>
  <c r="BV18" i="1"/>
  <c r="A19" i="1"/>
  <c r="B19" i="1"/>
  <c r="C19" i="1"/>
  <c r="D19" i="1"/>
  <c r="E19" i="1"/>
  <c r="F19" i="1"/>
  <c r="G19" i="1"/>
  <c r="H19" i="1"/>
  <c r="I19" i="1"/>
  <c r="U19" i="1" s="1"/>
  <c r="J19" i="1"/>
  <c r="T19" i="1" s="1"/>
  <c r="K19" i="1"/>
  <c r="L19" i="1"/>
  <c r="M19" i="1"/>
  <c r="W19" i="1" s="1"/>
  <c r="N19" i="1"/>
  <c r="O19" i="1"/>
  <c r="Q19" i="1"/>
  <c r="X19" i="1" s="1"/>
  <c r="R19" i="1"/>
  <c r="Y19" i="1" s="1"/>
  <c r="S19" i="1"/>
  <c r="V19" i="1"/>
  <c r="Z19" i="1"/>
  <c r="AE19" i="1"/>
  <c r="AH19" i="1"/>
  <c r="AP19" i="1"/>
  <c r="AU19" i="1"/>
  <c r="AX19" i="1"/>
  <c r="BF19" i="1"/>
  <c r="BK19" i="1"/>
  <c r="BN19" i="1"/>
  <c r="BV19" i="1"/>
  <c r="CA19" i="1"/>
  <c r="A20" i="1"/>
  <c r="B20" i="1"/>
  <c r="C20" i="1"/>
  <c r="D20" i="1"/>
  <c r="E20" i="1"/>
  <c r="F20" i="1"/>
  <c r="G20" i="1"/>
  <c r="H20" i="1"/>
  <c r="I20" i="1"/>
  <c r="U20" i="1" s="1"/>
  <c r="J20" i="1"/>
  <c r="T20" i="1" s="1"/>
  <c r="K20" i="1"/>
  <c r="L20" i="1"/>
  <c r="M20" i="1"/>
  <c r="N20" i="1"/>
  <c r="O20" i="1"/>
  <c r="Q20" i="1"/>
  <c r="X20" i="1" s="1"/>
  <c r="R20" i="1"/>
  <c r="Y20" i="1" s="1"/>
  <c r="S20" i="1"/>
  <c r="V20" i="1"/>
  <c r="W20" i="1"/>
  <c r="Z20" i="1"/>
  <c r="AT20" i="1"/>
  <c r="BZ20" i="1"/>
  <c r="A21" i="1"/>
  <c r="B21" i="1"/>
  <c r="C21" i="1"/>
  <c r="D21" i="1"/>
  <c r="E21" i="1"/>
  <c r="F21" i="1"/>
  <c r="G21" i="1"/>
  <c r="H21" i="1"/>
  <c r="I21" i="1"/>
  <c r="J21" i="1"/>
  <c r="T21" i="1" s="1"/>
  <c r="U21" i="1" s="1"/>
  <c r="K21" i="1"/>
  <c r="L21" i="1"/>
  <c r="M21" i="1" s="1"/>
  <c r="N21" i="1"/>
  <c r="O21" i="1"/>
  <c r="Q21" i="1"/>
  <c r="X21" i="1" s="1"/>
  <c r="S21" i="1"/>
  <c r="V21" i="1"/>
  <c r="Z21" i="1"/>
  <c r="AT21" i="1"/>
  <c r="BF21" i="1"/>
  <c r="A22" i="1"/>
  <c r="B22" i="1"/>
  <c r="C22" i="1"/>
  <c r="D22" i="1"/>
  <c r="E22" i="1"/>
  <c r="F22" i="1"/>
  <c r="G22" i="1"/>
  <c r="H22" i="1"/>
  <c r="I22" i="1"/>
  <c r="J22" i="1"/>
  <c r="T22" i="1" s="1"/>
  <c r="U22" i="1" s="1"/>
  <c r="K22" i="1"/>
  <c r="L22" i="1"/>
  <c r="M22" i="1" s="1"/>
  <c r="N22" i="1"/>
  <c r="O22" i="1"/>
  <c r="Q22" i="1"/>
  <c r="X22" i="1" s="1"/>
  <c r="S22" i="1"/>
  <c r="V22" i="1"/>
  <c r="A23" i="1"/>
  <c r="B23" i="1"/>
  <c r="C23" i="1"/>
  <c r="D23" i="1"/>
  <c r="E23" i="1"/>
  <c r="F23" i="1"/>
  <c r="G23" i="1"/>
  <c r="H23" i="1"/>
  <c r="S23" i="1" s="1"/>
  <c r="I23" i="1"/>
  <c r="J23" i="1"/>
  <c r="K23" i="1"/>
  <c r="L23" i="1"/>
  <c r="N23" i="1"/>
  <c r="O23" i="1"/>
  <c r="Q23" i="1"/>
  <c r="X23" i="1" s="1"/>
  <c r="T23" i="1"/>
  <c r="U23" i="1" s="1"/>
  <c r="A24" i="1"/>
  <c r="B24" i="1"/>
  <c r="C24" i="1"/>
  <c r="D24" i="1"/>
  <c r="E24" i="1"/>
  <c r="F24" i="1"/>
  <c r="G24" i="1"/>
  <c r="H24" i="1"/>
  <c r="I24" i="1"/>
  <c r="J24" i="1"/>
  <c r="K24" i="1"/>
  <c r="L24" i="1"/>
  <c r="M24" i="1" s="1"/>
  <c r="R24" i="1" s="1"/>
  <c r="N24" i="1"/>
  <c r="O24" i="1"/>
  <c r="Q24" i="1"/>
  <c r="X24" i="1" s="1"/>
  <c r="V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 s="1"/>
  <c r="R25" i="1" s="1"/>
  <c r="Y25" i="1" s="1"/>
  <c r="N25" i="1"/>
  <c r="O25" i="1"/>
  <c r="Q25" i="1"/>
  <c r="V25" i="1"/>
  <c r="X25" i="1"/>
  <c r="AB25" i="1"/>
  <c r="AR25" i="1"/>
  <c r="BD25" i="1"/>
  <c r="BH25" i="1"/>
  <c r="BX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 s="1"/>
  <c r="R26" i="1" s="1"/>
  <c r="Y26" i="1" s="1"/>
  <c r="N26" i="1"/>
  <c r="O26" i="1"/>
  <c r="V26" i="1"/>
  <c r="A27" i="1"/>
  <c r="B27" i="1"/>
  <c r="C27" i="1"/>
  <c r="D27" i="1"/>
  <c r="E27" i="1"/>
  <c r="F27" i="1"/>
  <c r="G27" i="1"/>
  <c r="H27" i="1"/>
  <c r="I27" i="1"/>
  <c r="J27" i="1"/>
  <c r="K27" i="1"/>
  <c r="L27" i="1"/>
  <c r="N27" i="1"/>
  <c r="O27" i="1"/>
  <c r="A28" i="1"/>
  <c r="B28" i="1"/>
  <c r="C28" i="1"/>
  <c r="D28" i="1"/>
  <c r="E28" i="1"/>
  <c r="F28" i="1"/>
  <c r="G28" i="1"/>
  <c r="H28" i="1"/>
  <c r="I28" i="1"/>
  <c r="U28" i="1" s="1"/>
  <c r="J28" i="1"/>
  <c r="K28" i="1"/>
  <c r="L28" i="1"/>
  <c r="M28" i="1"/>
  <c r="N28" i="1"/>
  <c r="O28" i="1"/>
  <c r="Q28" i="1"/>
  <c r="R28" i="1"/>
  <c r="Y28" i="1" s="1"/>
  <c r="S28" i="1"/>
  <c r="T28" i="1"/>
  <c r="V28" i="1"/>
  <c r="W28" i="1"/>
  <c r="X28" i="1"/>
  <c r="AZ28" i="1"/>
  <c r="BK28" i="1"/>
  <c r="A29" i="1"/>
  <c r="B29" i="1"/>
  <c r="C29" i="1"/>
  <c r="D29" i="1"/>
  <c r="E29" i="1"/>
  <c r="F29" i="1"/>
  <c r="G29" i="1"/>
  <c r="H29" i="1"/>
  <c r="I29" i="1"/>
  <c r="J29" i="1"/>
  <c r="T29" i="1" s="1"/>
  <c r="U29" i="1" s="1"/>
  <c r="K29" i="1"/>
  <c r="L29" i="1"/>
  <c r="N29" i="1"/>
  <c r="O29" i="1"/>
  <c r="Q29" i="1"/>
  <c r="X29" i="1" s="1"/>
  <c r="S29" i="1"/>
  <c r="A30" i="1"/>
  <c r="B30" i="1"/>
  <c r="C30" i="1"/>
  <c r="D30" i="1"/>
  <c r="E30" i="1"/>
  <c r="F30" i="1"/>
  <c r="G30" i="1"/>
  <c r="H30" i="1"/>
  <c r="I30" i="1"/>
  <c r="J30" i="1"/>
  <c r="T30" i="1" s="1"/>
  <c r="U30" i="1" s="1"/>
  <c r="K30" i="1"/>
  <c r="L30" i="1"/>
  <c r="N30" i="1"/>
  <c r="O30" i="1"/>
  <c r="Q30" i="1"/>
  <c r="S30" i="1"/>
  <c r="X30" i="1"/>
  <c r="A31" i="1"/>
  <c r="B31" i="1"/>
  <c r="C31" i="1"/>
  <c r="D31" i="1"/>
  <c r="E31" i="1"/>
  <c r="F31" i="1"/>
  <c r="G31" i="1"/>
  <c r="H31" i="1"/>
  <c r="I31" i="1"/>
  <c r="J31" i="1"/>
  <c r="K31" i="1"/>
  <c r="L31" i="1"/>
  <c r="N31" i="1"/>
  <c r="O31" i="1"/>
  <c r="A32" i="1"/>
  <c r="B32" i="1"/>
  <c r="C32" i="1"/>
  <c r="D32" i="1"/>
  <c r="E32" i="1"/>
  <c r="F32" i="1"/>
  <c r="G32" i="1"/>
  <c r="H32" i="1"/>
  <c r="S32" i="1" s="1"/>
  <c r="I32" i="1"/>
  <c r="J32" i="1"/>
  <c r="K32" i="1"/>
  <c r="L32" i="1"/>
  <c r="N32" i="1"/>
  <c r="O32" i="1"/>
  <c r="T32" i="1"/>
  <c r="U32" i="1"/>
  <c r="A33" i="1"/>
  <c r="B33" i="1"/>
  <c r="C33" i="1"/>
  <c r="D33" i="1"/>
  <c r="E33" i="1"/>
  <c r="F33" i="1"/>
  <c r="G33" i="1"/>
  <c r="H33" i="1"/>
  <c r="I33" i="1"/>
  <c r="J33" i="1"/>
  <c r="T33" i="1" s="1"/>
  <c r="U33" i="1" s="1"/>
  <c r="K33" i="1"/>
  <c r="L33" i="1"/>
  <c r="N33" i="1"/>
  <c r="O33" i="1"/>
  <c r="Q33" i="1"/>
  <c r="X33" i="1" s="1"/>
  <c r="S33" i="1"/>
  <c r="A34" i="1"/>
  <c r="B34" i="1"/>
  <c r="C34" i="1"/>
  <c r="D34" i="1"/>
  <c r="E34" i="1"/>
  <c r="F34" i="1"/>
  <c r="G34" i="1"/>
  <c r="H34" i="1"/>
  <c r="I34" i="1"/>
  <c r="J34" i="1"/>
  <c r="T34" i="1" s="1"/>
  <c r="U34" i="1" s="1"/>
  <c r="K34" i="1"/>
  <c r="L34" i="1"/>
  <c r="N34" i="1"/>
  <c r="O34" i="1"/>
  <c r="Q34" i="1"/>
  <c r="X34" i="1" s="1"/>
  <c r="S34" i="1"/>
  <c r="A35" i="1"/>
  <c r="B35" i="1"/>
  <c r="C35" i="1"/>
  <c r="D35" i="1"/>
  <c r="E35" i="1"/>
  <c r="F35" i="1"/>
  <c r="G35" i="1"/>
  <c r="H35" i="1"/>
  <c r="T35" i="1" s="1"/>
  <c r="U35" i="1" s="1"/>
  <c r="I35" i="1"/>
  <c r="J35" i="1"/>
  <c r="K35" i="1"/>
  <c r="L35" i="1"/>
  <c r="N35" i="1"/>
  <c r="O35" i="1"/>
  <c r="S35" i="1"/>
  <c r="A36" i="1"/>
  <c r="B36" i="1"/>
  <c r="C36" i="1"/>
  <c r="D36" i="1"/>
  <c r="E36" i="1"/>
  <c r="F36" i="1"/>
  <c r="G36" i="1"/>
  <c r="H36" i="1"/>
  <c r="I36" i="1"/>
  <c r="J36" i="1"/>
  <c r="K36" i="1"/>
  <c r="L36" i="1"/>
  <c r="N36" i="1"/>
  <c r="O36" i="1"/>
  <c r="A37" i="1"/>
  <c r="B37" i="1"/>
  <c r="C37" i="1"/>
  <c r="D37" i="1"/>
  <c r="E37" i="1"/>
  <c r="F37" i="1"/>
  <c r="G37" i="1"/>
  <c r="H37" i="1"/>
  <c r="I37" i="1"/>
  <c r="J37" i="1"/>
  <c r="T37" i="1" s="1"/>
  <c r="U37" i="1" s="1"/>
  <c r="K37" i="1"/>
  <c r="L37" i="1"/>
  <c r="N37" i="1"/>
  <c r="O37" i="1"/>
  <c r="Q37" i="1"/>
  <c r="X37" i="1" s="1"/>
  <c r="S37" i="1"/>
  <c r="A38" i="1"/>
  <c r="B38" i="1"/>
  <c r="C38" i="1"/>
  <c r="D38" i="1"/>
  <c r="E38" i="1"/>
  <c r="F38" i="1"/>
  <c r="G38" i="1"/>
  <c r="H38" i="1"/>
  <c r="I38" i="1"/>
  <c r="J38" i="1"/>
  <c r="T38" i="1" s="1"/>
  <c r="U38" i="1" s="1"/>
  <c r="K38" i="1"/>
  <c r="L38" i="1"/>
  <c r="N38" i="1"/>
  <c r="O38" i="1"/>
  <c r="Q38" i="1"/>
  <c r="S38" i="1"/>
  <c r="X38" i="1"/>
  <c r="A39" i="1"/>
  <c r="B39" i="1"/>
  <c r="C39" i="1"/>
  <c r="D39" i="1"/>
  <c r="E39" i="1"/>
  <c r="F39" i="1"/>
  <c r="G39" i="1"/>
  <c r="H39" i="1"/>
  <c r="I39" i="1"/>
  <c r="J39" i="1"/>
  <c r="K39" i="1"/>
  <c r="L39" i="1"/>
  <c r="N39" i="1"/>
  <c r="O39" i="1"/>
  <c r="Q39" i="1"/>
  <c r="S39" i="1"/>
  <c r="T39" i="1"/>
  <c r="U39" i="1" s="1"/>
  <c r="X39" i="1"/>
  <c r="A40" i="1"/>
  <c r="B40" i="1"/>
  <c r="C40" i="1"/>
  <c r="D40" i="1"/>
  <c r="E40" i="1"/>
  <c r="F40" i="1"/>
  <c r="G40" i="1"/>
  <c r="H40" i="1"/>
  <c r="S40" i="1" s="1"/>
  <c r="I40" i="1"/>
  <c r="J40" i="1"/>
  <c r="T40" i="1" s="1"/>
  <c r="U40" i="1" s="1"/>
  <c r="K40" i="1"/>
  <c r="L40" i="1"/>
  <c r="N40" i="1"/>
  <c r="O40" i="1"/>
  <c r="A41" i="1"/>
  <c r="B41" i="1"/>
  <c r="C41" i="1"/>
  <c r="D41" i="1"/>
  <c r="E41" i="1"/>
  <c r="F41" i="1"/>
  <c r="G41" i="1"/>
  <c r="H41" i="1"/>
  <c r="I41" i="1"/>
  <c r="J41" i="1"/>
  <c r="T41" i="1" s="1"/>
  <c r="U41" i="1" s="1"/>
  <c r="K41" i="1"/>
  <c r="L41" i="1"/>
  <c r="N41" i="1"/>
  <c r="O41" i="1"/>
  <c r="Q41" i="1"/>
  <c r="X41" i="1" s="1"/>
  <c r="S41" i="1"/>
  <c r="A42" i="1"/>
  <c r="B42" i="1"/>
  <c r="C42" i="1"/>
  <c r="D42" i="1"/>
  <c r="E42" i="1"/>
  <c r="F42" i="1"/>
  <c r="G42" i="1"/>
  <c r="H42" i="1"/>
  <c r="I42" i="1"/>
  <c r="U42" i="1" s="1"/>
  <c r="AD42" i="1" s="1"/>
  <c r="J42" i="1"/>
  <c r="K42" i="1"/>
  <c r="L42" i="1"/>
  <c r="M42" i="1"/>
  <c r="N42" i="1"/>
  <c r="O42" i="1"/>
  <c r="Q42" i="1"/>
  <c r="R42" i="1"/>
  <c r="Y42" i="1" s="1"/>
  <c r="AN42" i="1" s="1"/>
  <c r="S42" i="1"/>
  <c r="T42" i="1"/>
  <c r="V42" i="1"/>
  <c r="W42" i="1"/>
  <c r="AI42" i="1" s="1"/>
  <c r="X42" i="1"/>
  <c r="AA42" i="1"/>
  <c r="AB42" i="1"/>
  <c r="AF42" i="1"/>
  <c r="AH42" i="1"/>
  <c r="AL42" i="1"/>
  <c r="AO42" i="1" s="1"/>
  <c r="AM42" i="1"/>
  <c r="AP42" i="1"/>
  <c r="AQ42" i="1"/>
  <c r="AR42" i="1"/>
  <c r="AT42" i="1"/>
  <c r="AV42" i="1"/>
  <c r="AX42" i="1"/>
  <c r="BB42" i="1"/>
  <c r="BC42" i="1"/>
  <c r="BF42" i="1"/>
  <c r="BG42" i="1"/>
  <c r="BH42" i="1"/>
  <c r="BJ42" i="1"/>
  <c r="BL42" i="1"/>
  <c r="BN42" i="1"/>
  <c r="BP42" i="1"/>
  <c r="BR42" i="1"/>
  <c r="BU42" i="1" s="1"/>
  <c r="BS42" i="1"/>
  <c r="BT42" i="1"/>
  <c r="BV42" i="1"/>
  <c r="BW42" i="1"/>
  <c r="BX42" i="1"/>
  <c r="BZ42" i="1"/>
  <c r="CA42" i="1"/>
  <c r="CB42" i="1"/>
  <c r="A43" i="1"/>
  <c r="B43" i="1"/>
  <c r="C43" i="1"/>
  <c r="D43" i="1"/>
  <c r="E43" i="1"/>
  <c r="F43" i="1"/>
  <c r="G43" i="1"/>
  <c r="H43" i="1"/>
  <c r="I43" i="1"/>
  <c r="J43" i="1"/>
  <c r="T43" i="1" s="1"/>
  <c r="K43" i="1"/>
  <c r="L43" i="1"/>
  <c r="M43" i="1"/>
  <c r="N43" i="1"/>
  <c r="O43" i="1"/>
  <c r="Q43" i="1"/>
  <c r="R43" i="1"/>
  <c r="Y43" i="1" s="1"/>
  <c r="AN43" i="1" s="1"/>
  <c r="S43" i="1"/>
  <c r="V43" i="1"/>
  <c r="W43" i="1" s="1"/>
  <c r="X43" i="1"/>
  <c r="AB43" i="1"/>
  <c r="AF43" i="1"/>
  <c r="AR43" i="1"/>
  <c r="AV43" i="1"/>
  <c r="BH43" i="1"/>
  <c r="BL43" i="1"/>
  <c r="BX43" i="1"/>
  <c r="CB43" i="1"/>
  <c r="A44" i="1"/>
  <c r="B44" i="1"/>
  <c r="C44" i="1"/>
  <c r="D44" i="1"/>
  <c r="E44" i="1"/>
  <c r="F44" i="1"/>
  <c r="G44" i="1"/>
  <c r="H44" i="1"/>
  <c r="I44" i="1"/>
  <c r="U44" i="1" s="1"/>
  <c r="AD44" i="1" s="1"/>
  <c r="J44" i="1"/>
  <c r="K44" i="1"/>
  <c r="L44" i="1"/>
  <c r="M44" i="1"/>
  <c r="N44" i="1"/>
  <c r="O44" i="1"/>
  <c r="Q44" i="1"/>
  <c r="R44" i="1"/>
  <c r="Y44" i="1" s="1"/>
  <c r="AN44" i="1" s="1"/>
  <c r="S44" i="1"/>
  <c r="T44" i="1"/>
  <c r="V44" i="1"/>
  <c r="W44" i="1"/>
  <c r="AI44" i="1" s="1"/>
  <c r="X44" i="1"/>
  <c r="AA44" i="1"/>
  <c r="AB44" i="1"/>
  <c r="AF44" i="1"/>
  <c r="AH44" i="1"/>
  <c r="AL44" i="1"/>
  <c r="AM44" i="1"/>
  <c r="AQ44" i="1"/>
  <c r="AR44" i="1"/>
  <c r="AV44" i="1"/>
  <c r="AX44" i="1"/>
  <c r="BB44" i="1"/>
  <c r="BC44" i="1"/>
  <c r="BG44" i="1"/>
  <c r="BH44" i="1"/>
  <c r="BL44" i="1"/>
  <c r="BN44" i="1"/>
  <c r="BR44" i="1"/>
  <c r="BS44" i="1"/>
  <c r="BW44" i="1"/>
  <c r="BX44" i="1"/>
  <c r="CB44" i="1"/>
  <c r="A45" i="1"/>
  <c r="B45" i="1"/>
  <c r="C45" i="1"/>
  <c r="D45" i="1"/>
  <c r="E45" i="1"/>
  <c r="F45" i="1"/>
  <c r="G45" i="1"/>
  <c r="H45" i="1"/>
  <c r="I45" i="1"/>
  <c r="U45" i="1" s="1"/>
  <c r="AD45" i="1" s="1"/>
  <c r="J45" i="1"/>
  <c r="K45" i="1"/>
  <c r="L45" i="1"/>
  <c r="M45" i="1"/>
  <c r="N45" i="1"/>
  <c r="O45" i="1"/>
  <c r="Q45" i="1"/>
  <c r="R45" i="1"/>
  <c r="Y45" i="1" s="1"/>
  <c r="S45" i="1"/>
  <c r="T45" i="1"/>
  <c r="V45" i="1"/>
  <c r="W45" i="1"/>
  <c r="X45" i="1"/>
  <c r="AF45" i="1"/>
  <c r="AH45" i="1"/>
  <c r="AL45" i="1"/>
  <c r="AQ45" i="1"/>
  <c r="AR45" i="1"/>
  <c r="AX45" i="1"/>
  <c r="BB45" i="1"/>
  <c r="BC45" i="1"/>
  <c r="BL45" i="1"/>
  <c r="BN45" i="1"/>
  <c r="BR45" i="1"/>
  <c r="BW45" i="1"/>
  <c r="BX45" i="1"/>
  <c r="A46" i="1"/>
  <c r="B46" i="1"/>
  <c r="C46" i="1"/>
  <c r="D46" i="1"/>
  <c r="E46" i="1"/>
  <c r="F46" i="1"/>
  <c r="G46" i="1"/>
  <c r="H46" i="1"/>
  <c r="I46" i="1"/>
  <c r="U46" i="1" s="1"/>
  <c r="J46" i="1"/>
  <c r="K46" i="1"/>
  <c r="L46" i="1"/>
  <c r="M46" i="1"/>
  <c r="N46" i="1"/>
  <c r="O46" i="1"/>
  <c r="Q46" i="1"/>
  <c r="R46" i="1"/>
  <c r="Y46" i="1" s="1"/>
  <c r="S46" i="1"/>
  <c r="T46" i="1"/>
  <c r="V46" i="1"/>
  <c r="W46" i="1"/>
  <c r="X46" i="1"/>
  <c r="AA46" i="1"/>
  <c r="AF46" i="1"/>
  <c r="AH46" i="1"/>
  <c r="AL46" i="1"/>
  <c r="AQ46" i="1"/>
  <c r="AR46" i="1"/>
  <c r="AV46" i="1"/>
  <c r="BB46" i="1"/>
  <c r="BC46" i="1"/>
  <c r="BG46" i="1"/>
  <c r="BL46" i="1"/>
  <c r="BN46" i="1"/>
  <c r="BR46" i="1"/>
  <c r="BW46" i="1"/>
  <c r="BX46" i="1"/>
  <c r="CB46" i="1"/>
  <c r="A47" i="1"/>
  <c r="B47" i="1"/>
  <c r="C47" i="1"/>
  <c r="D47" i="1"/>
  <c r="E47" i="1"/>
  <c r="F47" i="1"/>
  <c r="G47" i="1"/>
  <c r="H47" i="1"/>
  <c r="I47" i="1"/>
  <c r="U47" i="1" s="1"/>
  <c r="J47" i="1"/>
  <c r="K47" i="1"/>
  <c r="L47" i="1"/>
  <c r="M47" i="1"/>
  <c r="N47" i="1"/>
  <c r="O47" i="1"/>
  <c r="Q47" i="1"/>
  <c r="R47" i="1"/>
  <c r="Y47" i="1" s="1"/>
  <c r="S47" i="1"/>
  <c r="T47" i="1"/>
  <c r="V47" i="1"/>
  <c r="W47" i="1"/>
  <c r="X47" i="1"/>
  <c r="AA47" i="1"/>
  <c r="AB47" i="1"/>
  <c r="AF47" i="1"/>
  <c r="AH47" i="1"/>
  <c r="AL47" i="1"/>
  <c r="AM47" i="1"/>
  <c r="AQ47" i="1"/>
  <c r="AR47" i="1"/>
  <c r="AV47" i="1"/>
  <c r="AX47" i="1"/>
  <c r="BB47" i="1"/>
  <c r="BC47" i="1"/>
  <c r="BG47" i="1"/>
  <c r="BH47" i="1"/>
  <c r="BL47" i="1"/>
  <c r="BN47" i="1"/>
  <c r="BR47" i="1"/>
  <c r="BS47" i="1"/>
  <c r="BW47" i="1"/>
  <c r="BX47" i="1"/>
  <c r="CB47" i="1"/>
  <c r="A48" i="1"/>
  <c r="B48" i="1"/>
  <c r="C48" i="1"/>
  <c r="D48" i="1"/>
  <c r="E48" i="1"/>
  <c r="F48" i="1"/>
  <c r="G48" i="1"/>
  <c r="H48" i="1"/>
  <c r="I48" i="1"/>
  <c r="U48" i="1" s="1"/>
  <c r="J48" i="1"/>
  <c r="K48" i="1"/>
  <c r="L48" i="1"/>
  <c r="M48" i="1"/>
  <c r="N48" i="1"/>
  <c r="O48" i="1"/>
  <c r="Q48" i="1"/>
  <c r="R48" i="1"/>
  <c r="Y48" i="1" s="1"/>
  <c r="BL48" i="1" s="1"/>
  <c r="S48" i="1"/>
  <c r="T48" i="1"/>
  <c r="V48" i="1"/>
  <c r="W48" i="1"/>
  <c r="X48" i="1"/>
  <c r="AF48" i="1"/>
  <c r="BB48" i="1"/>
  <c r="BW48" i="1"/>
  <c r="A49" i="1"/>
  <c r="B49" i="1"/>
  <c r="C49" i="1"/>
  <c r="D49" i="1"/>
  <c r="E49" i="1"/>
  <c r="F49" i="1"/>
  <c r="G49" i="1"/>
  <c r="H49" i="1"/>
  <c r="I49" i="1"/>
  <c r="U49" i="1" s="1"/>
  <c r="J49" i="1"/>
  <c r="K49" i="1"/>
  <c r="L49" i="1"/>
  <c r="M49" i="1"/>
  <c r="N49" i="1"/>
  <c r="O49" i="1"/>
  <c r="Q49" i="1"/>
  <c r="R49" i="1"/>
  <c r="Y49" i="1" s="1"/>
  <c r="AJ49" i="1" s="1"/>
  <c r="S49" i="1"/>
  <c r="T49" i="1"/>
  <c r="V49" i="1"/>
  <c r="W49" i="1"/>
  <c r="X49" i="1"/>
  <c r="AF49" i="1"/>
  <c r="AN49" i="1"/>
  <c r="AV49" i="1"/>
  <c r="BD49" i="1"/>
  <c r="BL49" i="1"/>
  <c r="BT49" i="1"/>
  <c r="CB49" i="1"/>
  <c r="A50" i="1"/>
  <c r="B50" i="1"/>
  <c r="C50" i="1"/>
  <c r="D50" i="1"/>
  <c r="E50" i="1"/>
  <c r="F50" i="1"/>
  <c r="G50" i="1"/>
  <c r="H50" i="1"/>
  <c r="I50" i="1"/>
  <c r="J50" i="1"/>
  <c r="K50" i="1"/>
  <c r="L50" i="1"/>
  <c r="N50" i="1"/>
  <c r="O50" i="1"/>
  <c r="A51" i="1"/>
  <c r="B51" i="1"/>
  <c r="C51" i="1"/>
  <c r="D51" i="1"/>
  <c r="E51" i="1"/>
  <c r="F51" i="1"/>
  <c r="G51" i="1"/>
  <c r="H51" i="1"/>
  <c r="I51" i="1"/>
  <c r="J51" i="1"/>
  <c r="T51" i="1" s="1"/>
  <c r="U51" i="1" s="1"/>
  <c r="K51" i="1"/>
  <c r="L51" i="1"/>
  <c r="N51" i="1"/>
  <c r="O51" i="1"/>
  <c r="Q51" i="1"/>
  <c r="X51" i="1" s="1"/>
  <c r="S51" i="1"/>
  <c r="A52" i="1"/>
  <c r="B52" i="1"/>
  <c r="C52" i="1"/>
  <c r="D52" i="1"/>
  <c r="E52" i="1"/>
  <c r="F52" i="1"/>
  <c r="G52" i="1"/>
  <c r="H52" i="1"/>
  <c r="S52" i="1" s="1"/>
  <c r="I52" i="1"/>
  <c r="J52" i="1"/>
  <c r="T52" i="1" s="1"/>
  <c r="U52" i="1" s="1"/>
  <c r="K52" i="1"/>
  <c r="L52" i="1"/>
  <c r="N52" i="1"/>
  <c r="O52" i="1"/>
  <c r="A53" i="1"/>
  <c r="B53" i="1"/>
  <c r="C53" i="1"/>
  <c r="D53" i="1"/>
  <c r="E53" i="1"/>
  <c r="F53" i="1"/>
  <c r="G53" i="1"/>
  <c r="H53" i="1"/>
  <c r="I53" i="1"/>
  <c r="J53" i="1"/>
  <c r="K53" i="1"/>
  <c r="L53" i="1"/>
  <c r="N53" i="1"/>
  <c r="O53" i="1"/>
  <c r="S53" i="1"/>
  <c r="T53" i="1"/>
  <c r="U53" i="1" s="1"/>
  <c r="A54" i="1"/>
  <c r="B54" i="1"/>
  <c r="C54" i="1"/>
  <c r="D54" i="1"/>
  <c r="E54" i="1"/>
  <c r="F54" i="1"/>
  <c r="G54" i="1"/>
  <c r="H54" i="1"/>
  <c r="I54" i="1"/>
  <c r="J54" i="1"/>
  <c r="T54" i="1" s="1"/>
  <c r="K54" i="1"/>
  <c r="L54" i="1"/>
  <c r="N54" i="1"/>
  <c r="O54" i="1"/>
  <c r="Q54" i="1"/>
  <c r="X54" i="1" s="1"/>
  <c r="S54" i="1"/>
  <c r="U54" i="1"/>
  <c r="A55" i="1"/>
  <c r="B55" i="1"/>
  <c r="C55" i="1"/>
  <c r="D55" i="1"/>
  <c r="E55" i="1"/>
  <c r="F55" i="1"/>
  <c r="G55" i="1"/>
  <c r="H55" i="1"/>
  <c r="I55" i="1"/>
  <c r="J55" i="1"/>
  <c r="T55" i="1" s="1"/>
  <c r="U55" i="1" s="1"/>
  <c r="K55" i="1"/>
  <c r="L55" i="1"/>
  <c r="N55" i="1"/>
  <c r="O55" i="1"/>
  <c r="Q55" i="1"/>
  <c r="X55" i="1" s="1"/>
  <c r="S55" i="1"/>
  <c r="A56" i="1"/>
  <c r="B56" i="1"/>
  <c r="C56" i="1"/>
  <c r="D56" i="1"/>
  <c r="E56" i="1"/>
  <c r="F56" i="1"/>
  <c r="G56" i="1"/>
  <c r="H56" i="1"/>
  <c r="T56" i="1" s="1"/>
  <c r="U56" i="1" s="1"/>
  <c r="I56" i="1"/>
  <c r="J56" i="1"/>
  <c r="K56" i="1"/>
  <c r="L56" i="1"/>
  <c r="N56" i="1"/>
  <c r="O56" i="1"/>
  <c r="S56" i="1"/>
  <c r="A57" i="1"/>
  <c r="B57" i="1"/>
  <c r="C57" i="1"/>
  <c r="D57" i="1"/>
  <c r="E57" i="1"/>
  <c r="F57" i="1"/>
  <c r="G57" i="1"/>
  <c r="H57" i="1"/>
  <c r="I57" i="1"/>
  <c r="J57" i="1"/>
  <c r="K57" i="1"/>
  <c r="L57" i="1"/>
  <c r="N57" i="1"/>
  <c r="O57" i="1"/>
  <c r="S57" i="1"/>
  <c r="T57" i="1"/>
  <c r="U57" i="1" s="1"/>
  <c r="A58" i="1"/>
  <c r="B58" i="1"/>
  <c r="C58" i="1"/>
  <c r="D58" i="1"/>
  <c r="E58" i="1"/>
  <c r="F58" i="1"/>
  <c r="G58" i="1"/>
  <c r="H58" i="1"/>
  <c r="I58" i="1"/>
  <c r="J58" i="1"/>
  <c r="T58" i="1" s="1"/>
  <c r="U58" i="1" s="1"/>
  <c r="K58" i="1"/>
  <c r="L58" i="1"/>
  <c r="N58" i="1"/>
  <c r="O58" i="1"/>
  <c r="Q58" i="1"/>
  <c r="X58" i="1" s="1"/>
  <c r="S58" i="1"/>
  <c r="A59" i="1"/>
  <c r="B59" i="1"/>
  <c r="C59" i="1"/>
  <c r="D59" i="1"/>
  <c r="E59" i="1"/>
  <c r="F59" i="1"/>
  <c r="G59" i="1"/>
  <c r="H59" i="1"/>
  <c r="I59" i="1"/>
  <c r="J59" i="1"/>
  <c r="K59" i="1"/>
  <c r="L59" i="1"/>
  <c r="N59" i="1"/>
  <c r="O59" i="1"/>
  <c r="Q59" i="1"/>
  <c r="X59" i="1" s="1"/>
  <c r="A60" i="1"/>
  <c r="B60" i="1"/>
  <c r="C60" i="1"/>
  <c r="D60" i="1"/>
  <c r="E60" i="1"/>
  <c r="F60" i="1"/>
  <c r="G60" i="1"/>
  <c r="H60" i="1"/>
  <c r="I60" i="1"/>
  <c r="J60" i="1"/>
  <c r="K60" i="1"/>
  <c r="L60" i="1"/>
  <c r="N60" i="1"/>
  <c r="O60" i="1"/>
  <c r="A61" i="1"/>
  <c r="B61" i="1"/>
  <c r="C61" i="1"/>
  <c r="D61" i="1"/>
  <c r="E61" i="1"/>
  <c r="F61" i="1"/>
  <c r="G61" i="1"/>
  <c r="H61" i="1"/>
  <c r="I61" i="1"/>
  <c r="J61" i="1"/>
  <c r="K61" i="1"/>
  <c r="L61" i="1"/>
  <c r="N61" i="1"/>
  <c r="O61" i="1"/>
  <c r="Q61" i="1"/>
  <c r="X61" i="1" s="1"/>
  <c r="A62" i="1"/>
  <c r="B62" i="1"/>
  <c r="C62" i="1"/>
  <c r="D62" i="1"/>
  <c r="E62" i="1"/>
  <c r="F62" i="1"/>
  <c r="G62" i="1"/>
  <c r="H62" i="1"/>
  <c r="I62" i="1"/>
  <c r="J62" i="1"/>
  <c r="K62" i="1"/>
  <c r="L62" i="1"/>
  <c r="N62" i="1"/>
  <c r="O62" i="1"/>
  <c r="A63" i="1"/>
  <c r="B63" i="1"/>
  <c r="C63" i="1"/>
  <c r="D63" i="1"/>
  <c r="E63" i="1"/>
  <c r="F63" i="1"/>
  <c r="G63" i="1"/>
  <c r="H63" i="1"/>
  <c r="I63" i="1"/>
  <c r="J63" i="1"/>
  <c r="K63" i="1"/>
  <c r="L63" i="1"/>
  <c r="N63" i="1"/>
  <c r="O63" i="1"/>
  <c r="Q63" i="1"/>
  <c r="X63" i="1" s="1"/>
  <c r="A64" i="1"/>
  <c r="B64" i="1"/>
  <c r="C64" i="1"/>
  <c r="D64" i="1"/>
  <c r="E64" i="1"/>
  <c r="F64" i="1"/>
  <c r="G64" i="1"/>
  <c r="H64" i="1"/>
  <c r="I64" i="1"/>
  <c r="J64" i="1"/>
  <c r="K64" i="1"/>
  <c r="L64" i="1"/>
  <c r="N64" i="1"/>
  <c r="O64" i="1"/>
  <c r="A65" i="1"/>
  <c r="B65" i="1"/>
  <c r="C65" i="1"/>
  <c r="D65" i="1"/>
  <c r="E65" i="1"/>
  <c r="F65" i="1"/>
  <c r="G65" i="1"/>
  <c r="H65" i="1"/>
  <c r="I65" i="1"/>
  <c r="J65" i="1"/>
  <c r="K65" i="1"/>
  <c r="L65" i="1"/>
  <c r="N65" i="1"/>
  <c r="O65" i="1"/>
  <c r="Q65" i="1"/>
  <c r="X65" i="1" s="1"/>
  <c r="A66" i="1"/>
  <c r="B66" i="1"/>
  <c r="C66" i="1"/>
  <c r="D66" i="1"/>
  <c r="E66" i="1"/>
  <c r="F66" i="1"/>
  <c r="G66" i="1"/>
  <c r="H66" i="1"/>
  <c r="I66" i="1"/>
  <c r="J66" i="1"/>
  <c r="K66" i="1"/>
  <c r="L66" i="1"/>
  <c r="N66" i="1"/>
  <c r="O66" i="1"/>
  <c r="A67" i="1"/>
  <c r="B67" i="1"/>
  <c r="C67" i="1"/>
  <c r="D67" i="1"/>
  <c r="E67" i="1"/>
  <c r="F67" i="1"/>
  <c r="G67" i="1"/>
  <c r="H67" i="1"/>
  <c r="I67" i="1"/>
  <c r="J67" i="1"/>
  <c r="K67" i="1"/>
  <c r="L67" i="1"/>
  <c r="N67" i="1"/>
  <c r="O67" i="1"/>
  <c r="Q67" i="1"/>
  <c r="X67" i="1" s="1"/>
  <c r="A68" i="1"/>
  <c r="B68" i="1"/>
  <c r="C68" i="1"/>
  <c r="D68" i="1"/>
  <c r="E68" i="1"/>
  <c r="F68" i="1"/>
  <c r="G68" i="1"/>
  <c r="H68" i="1"/>
  <c r="I68" i="1"/>
  <c r="J68" i="1"/>
  <c r="K68" i="1"/>
  <c r="L68" i="1"/>
  <c r="N68" i="1"/>
  <c r="O68" i="1"/>
  <c r="A69" i="1"/>
  <c r="B69" i="1"/>
  <c r="C69" i="1"/>
  <c r="D69" i="1"/>
  <c r="E69" i="1"/>
  <c r="F69" i="1"/>
  <c r="G69" i="1"/>
  <c r="H69" i="1"/>
  <c r="I69" i="1"/>
  <c r="J69" i="1"/>
  <c r="K69" i="1"/>
  <c r="L69" i="1"/>
  <c r="N69" i="1"/>
  <c r="O69" i="1"/>
  <c r="Q69" i="1"/>
  <c r="X69" i="1" s="1"/>
  <c r="A70" i="1"/>
  <c r="B70" i="1"/>
  <c r="C70" i="1"/>
  <c r="D70" i="1"/>
  <c r="E70" i="1"/>
  <c r="F70" i="1"/>
  <c r="G70" i="1"/>
  <c r="H70" i="1"/>
  <c r="I70" i="1"/>
  <c r="J70" i="1"/>
  <c r="K70" i="1"/>
  <c r="L70" i="1"/>
  <c r="N70" i="1"/>
  <c r="O70" i="1"/>
  <c r="A71" i="1"/>
  <c r="B71" i="1"/>
  <c r="C71" i="1"/>
  <c r="D71" i="1"/>
  <c r="E71" i="1"/>
  <c r="F71" i="1"/>
  <c r="G71" i="1"/>
  <c r="H71" i="1"/>
  <c r="S71" i="1" s="1"/>
  <c r="I71" i="1"/>
  <c r="J71" i="1"/>
  <c r="K71" i="1"/>
  <c r="L71" i="1"/>
  <c r="N71" i="1"/>
  <c r="O71" i="1"/>
  <c r="Q71" i="1"/>
  <c r="X71" i="1" s="1"/>
  <c r="T71" i="1"/>
  <c r="U71" i="1"/>
  <c r="A72" i="1"/>
  <c r="B72" i="1"/>
  <c r="C72" i="1"/>
  <c r="D72" i="1"/>
  <c r="E72" i="1"/>
  <c r="F72" i="1"/>
  <c r="G72" i="1"/>
  <c r="H72" i="1"/>
  <c r="S72" i="1" s="1"/>
  <c r="I72" i="1"/>
  <c r="J72" i="1"/>
  <c r="K72" i="1"/>
  <c r="L72" i="1"/>
  <c r="N72" i="1"/>
  <c r="O72" i="1"/>
  <c r="T72" i="1"/>
  <c r="U72" i="1" s="1"/>
  <c r="A73" i="1"/>
  <c r="B73" i="1"/>
  <c r="C73" i="1"/>
  <c r="D73" i="1"/>
  <c r="E73" i="1"/>
  <c r="F73" i="1"/>
  <c r="G73" i="1"/>
  <c r="H73" i="1"/>
  <c r="S73" i="1" s="1"/>
  <c r="I73" i="1"/>
  <c r="J73" i="1"/>
  <c r="K73" i="1"/>
  <c r="L73" i="1"/>
  <c r="N73" i="1"/>
  <c r="O73" i="1"/>
  <c r="Q73" i="1"/>
  <c r="X73" i="1" s="1"/>
  <c r="T73" i="1"/>
  <c r="U73" i="1"/>
  <c r="A74" i="1"/>
  <c r="B74" i="1"/>
  <c r="C74" i="1"/>
  <c r="D74" i="1"/>
  <c r="E74" i="1"/>
  <c r="F74" i="1"/>
  <c r="G74" i="1"/>
  <c r="H74" i="1"/>
  <c r="S74" i="1" s="1"/>
  <c r="I74" i="1"/>
  <c r="J74" i="1"/>
  <c r="K74" i="1"/>
  <c r="L74" i="1"/>
  <c r="N74" i="1"/>
  <c r="O74" i="1"/>
  <c r="T74" i="1"/>
  <c r="U74" i="1" s="1"/>
  <c r="A75" i="1"/>
  <c r="B75" i="1"/>
  <c r="C75" i="1"/>
  <c r="D75" i="1"/>
  <c r="E75" i="1"/>
  <c r="F75" i="1"/>
  <c r="G75" i="1"/>
  <c r="H75" i="1"/>
  <c r="S75" i="1" s="1"/>
  <c r="I75" i="1"/>
  <c r="J75" i="1"/>
  <c r="K75" i="1"/>
  <c r="L75" i="1"/>
  <c r="N75" i="1"/>
  <c r="O75" i="1"/>
  <c r="Q75" i="1"/>
  <c r="X75" i="1" s="1"/>
  <c r="T75" i="1"/>
  <c r="U75" i="1"/>
  <c r="A76" i="1"/>
  <c r="B76" i="1"/>
  <c r="C76" i="1"/>
  <c r="D76" i="1"/>
  <c r="E76" i="1"/>
  <c r="F76" i="1"/>
  <c r="G76" i="1"/>
  <c r="H76" i="1"/>
  <c r="S76" i="1" s="1"/>
  <c r="I76" i="1"/>
  <c r="J76" i="1"/>
  <c r="K76" i="1"/>
  <c r="L76" i="1"/>
  <c r="N76" i="1"/>
  <c r="O76" i="1"/>
  <c r="A77" i="1"/>
  <c r="B77" i="1"/>
  <c r="C77" i="1"/>
  <c r="D77" i="1"/>
  <c r="E77" i="1"/>
  <c r="F77" i="1"/>
  <c r="G77" i="1"/>
  <c r="H77" i="1"/>
  <c r="S77" i="1" s="1"/>
  <c r="I77" i="1"/>
  <c r="J77" i="1"/>
  <c r="K77" i="1"/>
  <c r="L77" i="1"/>
  <c r="N77" i="1"/>
  <c r="O77" i="1"/>
  <c r="Q77" i="1"/>
  <c r="X77" i="1" s="1"/>
  <c r="T77" i="1"/>
  <c r="U77" i="1"/>
  <c r="A78" i="1"/>
  <c r="B78" i="1"/>
  <c r="C78" i="1"/>
  <c r="D78" i="1"/>
  <c r="E78" i="1"/>
  <c r="F78" i="1"/>
  <c r="G78" i="1"/>
  <c r="H78" i="1"/>
  <c r="S78" i="1" s="1"/>
  <c r="I78" i="1"/>
  <c r="J78" i="1"/>
  <c r="K78" i="1"/>
  <c r="L78" i="1"/>
  <c r="N78" i="1"/>
  <c r="O78" i="1"/>
  <c r="T78" i="1"/>
  <c r="U78" i="1" s="1"/>
  <c r="A79" i="1"/>
  <c r="B79" i="1"/>
  <c r="C79" i="1"/>
  <c r="D79" i="1"/>
  <c r="E79" i="1"/>
  <c r="F79" i="1"/>
  <c r="G79" i="1"/>
  <c r="H79" i="1"/>
  <c r="S79" i="1" s="1"/>
  <c r="I79" i="1"/>
  <c r="J79" i="1"/>
  <c r="K79" i="1"/>
  <c r="L79" i="1"/>
  <c r="N79" i="1"/>
  <c r="O79" i="1"/>
  <c r="Q79" i="1"/>
  <c r="X79" i="1" s="1"/>
  <c r="T79" i="1"/>
  <c r="U79" i="1"/>
  <c r="A80" i="1"/>
  <c r="B80" i="1"/>
  <c r="C80" i="1"/>
  <c r="D80" i="1"/>
  <c r="E80" i="1"/>
  <c r="F80" i="1"/>
  <c r="G80" i="1"/>
  <c r="H80" i="1"/>
  <c r="S80" i="1" s="1"/>
  <c r="I80" i="1"/>
  <c r="J80" i="1"/>
  <c r="K80" i="1"/>
  <c r="L80" i="1"/>
  <c r="N80" i="1"/>
  <c r="O80" i="1"/>
  <c r="T80" i="1"/>
  <c r="U80" i="1" s="1"/>
  <c r="A81" i="1"/>
  <c r="B81" i="1"/>
  <c r="C81" i="1"/>
  <c r="D81" i="1"/>
  <c r="E81" i="1"/>
  <c r="F81" i="1"/>
  <c r="G81" i="1"/>
  <c r="H81" i="1"/>
  <c r="S81" i="1" s="1"/>
  <c r="I81" i="1"/>
  <c r="J81" i="1"/>
  <c r="K81" i="1"/>
  <c r="L81" i="1"/>
  <c r="N81" i="1"/>
  <c r="O81" i="1"/>
  <c r="Q81" i="1"/>
  <c r="X81" i="1" s="1"/>
  <c r="T81" i="1"/>
  <c r="U81" i="1"/>
  <c r="A82" i="1"/>
  <c r="B82" i="1"/>
  <c r="C82" i="1"/>
  <c r="D82" i="1"/>
  <c r="E82" i="1"/>
  <c r="F82" i="1"/>
  <c r="G82" i="1"/>
  <c r="H82" i="1"/>
  <c r="S82" i="1" s="1"/>
  <c r="I82" i="1"/>
  <c r="J82" i="1"/>
  <c r="K82" i="1"/>
  <c r="L82" i="1"/>
  <c r="N82" i="1"/>
  <c r="O82" i="1"/>
  <c r="T82" i="1"/>
  <c r="U82" i="1" s="1"/>
  <c r="A83" i="1"/>
  <c r="B83" i="1"/>
  <c r="C83" i="1"/>
  <c r="D83" i="1"/>
  <c r="E83" i="1"/>
  <c r="F83" i="1"/>
  <c r="G83" i="1"/>
  <c r="H83" i="1"/>
  <c r="S83" i="1" s="1"/>
  <c r="I83" i="1"/>
  <c r="J83" i="1"/>
  <c r="K83" i="1"/>
  <c r="L83" i="1"/>
  <c r="N83" i="1"/>
  <c r="O83" i="1"/>
  <c r="Q83" i="1"/>
  <c r="X83" i="1" s="1"/>
  <c r="T83" i="1"/>
  <c r="U83" i="1"/>
  <c r="A84" i="1"/>
  <c r="B84" i="1"/>
  <c r="C84" i="1"/>
  <c r="D84" i="1"/>
  <c r="E84" i="1"/>
  <c r="F84" i="1"/>
  <c r="G84" i="1"/>
  <c r="H84" i="1"/>
  <c r="S84" i="1" s="1"/>
  <c r="I84" i="1"/>
  <c r="J84" i="1"/>
  <c r="K84" i="1"/>
  <c r="L84" i="1"/>
  <c r="N84" i="1"/>
  <c r="O84" i="1"/>
  <c r="A85" i="1"/>
  <c r="B85" i="1"/>
  <c r="C85" i="1"/>
  <c r="D85" i="1"/>
  <c r="E85" i="1"/>
  <c r="F85" i="1"/>
  <c r="G85" i="1"/>
  <c r="H85" i="1"/>
  <c r="S85" i="1" s="1"/>
  <c r="I85" i="1"/>
  <c r="J85" i="1"/>
  <c r="K85" i="1"/>
  <c r="L85" i="1"/>
  <c r="N85" i="1"/>
  <c r="O85" i="1"/>
  <c r="Q85" i="1"/>
  <c r="X85" i="1" s="1"/>
  <c r="T85" i="1"/>
  <c r="U85" i="1"/>
  <c r="A86" i="1"/>
  <c r="B86" i="1"/>
  <c r="C86" i="1"/>
  <c r="D86" i="1"/>
  <c r="E86" i="1"/>
  <c r="F86" i="1"/>
  <c r="G86" i="1"/>
  <c r="H86" i="1"/>
  <c r="T86" i="1" s="1"/>
  <c r="I86" i="1"/>
  <c r="J86" i="1"/>
  <c r="K86" i="1"/>
  <c r="L86" i="1"/>
  <c r="M86" i="1" s="1"/>
  <c r="R86" i="1" s="1"/>
  <c r="N86" i="1"/>
  <c r="O86" i="1"/>
  <c r="S86" i="1"/>
  <c r="U86" i="1"/>
  <c r="A87" i="1"/>
  <c r="B87" i="1"/>
  <c r="C87" i="1"/>
  <c r="D87" i="1"/>
  <c r="E87" i="1"/>
  <c r="F87" i="1"/>
  <c r="G87" i="1"/>
  <c r="H87" i="1"/>
  <c r="S87" i="1" s="1"/>
  <c r="I87" i="1"/>
  <c r="J87" i="1"/>
  <c r="K87" i="1"/>
  <c r="L87" i="1"/>
  <c r="N87" i="1"/>
  <c r="O87" i="1"/>
  <c r="A88" i="1"/>
  <c r="B88" i="1"/>
  <c r="C88" i="1"/>
  <c r="D88" i="1"/>
  <c r="E88" i="1"/>
  <c r="F88" i="1"/>
  <c r="G88" i="1"/>
  <c r="H88" i="1"/>
  <c r="S88" i="1" s="1"/>
  <c r="I88" i="1"/>
  <c r="J88" i="1"/>
  <c r="T88" i="1" s="1"/>
  <c r="U88" i="1" s="1"/>
  <c r="K88" i="1"/>
  <c r="L88" i="1"/>
  <c r="N88" i="1"/>
  <c r="O88" i="1"/>
  <c r="A89" i="1"/>
  <c r="B89" i="1"/>
  <c r="C89" i="1"/>
  <c r="D89" i="1"/>
  <c r="E89" i="1"/>
  <c r="F89" i="1"/>
  <c r="G89" i="1"/>
  <c r="H89" i="1"/>
  <c r="S89" i="1" s="1"/>
  <c r="I89" i="1"/>
  <c r="J89" i="1"/>
  <c r="T89" i="1" s="1"/>
  <c r="U89" i="1" s="1"/>
  <c r="K89" i="1"/>
  <c r="L89" i="1"/>
  <c r="N89" i="1"/>
  <c r="O89" i="1"/>
  <c r="Q89" i="1"/>
  <c r="X89" i="1" s="1"/>
  <c r="A90" i="1"/>
  <c r="B90" i="1"/>
  <c r="C90" i="1"/>
  <c r="D90" i="1"/>
  <c r="E90" i="1"/>
  <c r="F90" i="1"/>
  <c r="G90" i="1"/>
  <c r="H90" i="1"/>
  <c r="S90" i="1" s="1"/>
  <c r="I90" i="1"/>
  <c r="J90" i="1"/>
  <c r="K90" i="1"/>
  <c r="L90" i="1"/>
  <c r="N90" i="1"/>
  <c r="O90" i="1"/>
  <c r="Q90" i="1"/>
  <c r="X90" i="1" s="1"/>
  <c r="A91" i="1"/>
  <c r="B91" i="1"/>
  <c r="C91" i="1"/>
  <c r="D91" i="1"/>
  <c r="E91" i="1"/>
  <c r="F91" i="1"/>
  <c r="G91" i="1"/>
  <c r="H91" i="1"/>
  <c r="S91" i="1" s="1"/>
  <c r="I91" i="1"/>
  <c r="J91" i="1"/>
  <c r="K91" i="1"/>
  <c r="L91" i="1"/>
  <c r="N91" i="1"/>
  <c r="O91" i="1"/>
  <c r="A92" i="1"/>
  <c r="B92" i="1"/>
  <c r="C92" i="1"/>
  <c r="D92" i="1"/>
  <c r="E92" i="1"/>
  <c r="F92" i="1"/>
  <c r="G92" i="1"/>
  <c r="H92" i="1"/>
  <c r="S92" i="1" s="1"/>
  <c r="I92" i="1"/>
  <c r="J92" i="1"/>
  <c r="T92" i="1" s="1"/>
  <c r="U92" i="1" s="1"/>
  <c r="K92" i="1"/>
  <c r="L92" i="1"/>
  <c r="N92" i="1"/>
  <c r="O92" i="1"/>
  <c r="A93" i="1"/>
  <c r="B93" i="1"/>
  <c r="C93" i="1"/>
  <c r="D93" i="1"/>
  <c r="E93" i="1"/>
  <c r="F93" i="1"/>
  <c r="G93" i="1"/>
  <c r="H93" i="1"/>
  <c r="S93" i="1" s="1"/>
  <c r="I93" i="1"/>
  <c r="J93" i="1"/>
  <c r="T93" i="1" s="1"/>
  <c r="U93" i="1" s="1"/>
  <c r="K93" i="1"/>
  <c r="L93" i="1"/>
  <c r="N93" i="1"/>
  <c r="O93" i="1"/>
  <c r="Q93" i="1"/>
  <c r="X93" i="1" s="1"/>
  <c r="A94" i="1"/>
  <c r="B94" i="1"/>
  <c r="C94" i="1"/>
  <c r="D94" i="1"/>
  <c r="E94" i="1"/>
  <c r="F94" i="1"/>
  <c r="G94" i="1"/>
  <c r="H94" i="1"/>
  <c r="S94" i="1" s="1"/>
  <c r="I94" i="1"/>
  <c r="J94" i="1"/>
  <c r="K94" i="1"/>
  <c r="L94" i="1"/>
  <c r="N94" i="1"/>
  <c r="O94" i="1"/>
  <c r="Q94" i="1"/>
  <c r="X94" i="1" s="1"/>
  <c r="A95" i="1"/>
  <c r="B95" i="1"/>
  <c r="C95" i="1"/>
  <c r="D95" i="1"/>
  <c r="E95" i="1"/>
  <c r="F95" i="1"/>
  <c r="G95" i="1"/>
  <c r="H95" i="1"/>
  <c r="S95" i="1" s="1"/>
  <c r="I95" i="1"/>
  <c r="J95" i="1"/>
  <c r="K95" i="1"/>
  <c r="L95" i="1"/>
  <c r="N95" i="1"/>
  <c r="O95" i="1"/>
  <c r="A96" i="1"/>
  <c r="B96" i="1"/>
  <c r="C96" i="1"/>
  <c r="D96" i="1"/>
  <c r="E96" i="1"/>
  <c r="F96" i="1"/>
  <c r="G96" i="1"/>
  <c r="H96" i="1"/>
  <c r="S96" i="1" s="1"/>
  <c r="I96" i="1"/>
  <c r="J96" i="1"/>
  <c r="T96" i="1" s="1"/>
  <c r="U96" i="1" s="1"/>
  <c r="K96" i="1"/>
  <c r="L96" i="1"/>
  <c r="N96" i="1"/>
  <c r="O96" i="1"/>
  <c r="A97" i="1"/>
  <c r="B97" i="1"/>
  <c r="C97" i="1"/>
  <c r="D97" i="1"/>
  <c r="E97" i="1"/>
  <c r="F97" i="1"/>
  <c r="G97" i="1"/>
  <c r="H97" i="1"/>
  <c r="S97" i="1" s="1"/>
  <c r="I97" i="1"/>
  <c r="J97" i="1"/>
  <c r="T97" i="1" s="1"/>
  <c r="U97" i="1" s="1"/>
  <c r="K97" i="1"/>
  <c r="L97" i="1"/>
  <c r="N97" i="1"/>
  <c r="O97" i="1"/>
  <c r="Q97" i="1"/>
  <c r="X97" i="1" s="1"/>
  <c r="A98" i="1"/>
  <c r="B98" i="1"/>
  <c r="C98" i="1"/>
  <c r="D98" i="1"/>
  <c r="E98" i="1"/>
  <c r="F98" i="1"/>
  <c r="G98" i="1"/>
  <c r="H98" i="1"/>
  <c r="S98" i="1" s="1"/>
  <c r="I98" i="1"/>
  <c r="J98" i="1"/>
  <c r="K98" i="1"/>
  <c r="L98" i="1"/>
  <c r="N98" i="1"/>
  <c r="O98" i="1"/>
  <c r="Q98" i="1"/>
  <c r="X98" i="1" s="1"/>
  <c r="A99" i="1"/>
  <c r="B99" i="1"/>
  <c r="C99" i="1"/>
  <c r="D99" i="1"/>
  <c r="E99" i="1"/>
  <c r="F99" i="1"/>
  <c r="G99" i="1"/>
  <c r="H99" i="1"/>
  <c r="S99" i="1" s="1"/>
  <c r="I99" i="1"/>
  <c r="J99" i="1"/>
  <c r="K99" i="1"/>
  <c r="L99" i="1"/>
  <c r="N99" i="1"/>
  <c r="O99" i="1"/>
  <c r="A100" i="1"/>
  <c r="B100" i="1"/>
  <c r="C100" i="1"/>
  <c r="D100" i="1"/>
  <c r="E100" i="1"/>
  <c r="F100" i="1"/>
  <c r="G100" i="1"/>
  <c r="H100" i="1"/>
  <c r="S100" i="1" s="1"/>
  <c r="I100" i="1"/>
  <c r="J100" i="1"/>
  <c r="T100" i="1" s="1"/>
  <c r="K100" i="1"/>
  <c r="L100" i="1"/>
  <c r="N100" i="1"/>
  <c r="O100" i="1"/>
  <c r="U100" i="1"/>
  <c r="A101" i="1"/>
  <c r="B101" i="1"/>
  <c r="C101" i="1"/>
  <c r="D101" i="1"/>
  <c r="E101" i="1"/>
  <c r="F101" i="1"/>
  <c r="G101" i="1"/>
  <c r="H101" i="1"/>
  <c r="S101" i="1" s="1"/>
  <c r="I101" i="1"/>
  <c r="J101" i="1"/>
  <c r="T101" i="1" s="1"/>
  <c r="U101" i="1" s="1"/>
  <c r="K101" i="1"/>
  <c r="L101" i="1"/>
  <c r="N101" i="1"/>
  <c r="O101" i="1"/>
  <c r="Q101" i="1"/>
  <c r="X101" i="1" s="1"/>
  <c r="A102" i="1"/>
  <c r="B102" i="1"/>
  <c r="C102" i="1"/>
  <c r="D102" i="1"/>
  <c r="E102" i="1"/>
  <c r="F102" i="1"/>
  <c r="G102" i="1"/>
  <c r="H102" i="1"/>
  <c r="S102" i="1" s="1"/>
  <c r="I102" i="1"/>
  <c r="J102" i="1"/>
  <c r="T102" i="1" s="1"/>
  <c r="K102" i="1"/>
  <c r="L102" i="1"/>
  <c r="N102" i="1"/>
  <c r="O102" i="1"/>
  <c r="Q102" i="1"/>
  <c r="X102" i="1" s="1"/>
  <c r="U102" i="1"/>
  <c r="A103" i="1"/>
  <c r="B103" i="1"/>
  <c r="C103" i="1"/>
  <c r="D103" i="1"/>
  <c r="E103" i="1"/>
  <c r="F103" i="1"/>
  <c r="G103" i="1"/>
  <c r="H103" i="1"/>
  <c r="S103" i="1" s="1"/>
  <c r="I103" i="1"/>
  <c r="J103" i="1"/>
  <c r="K103" i="1"/>
  <c r="L103" i="1"/>
  <c r="N103" i="1"/>
  <c r="O103" i="1"/>
  <c r="A104" i="1"/>
  <c r="B104" i="1"/>
  <c r="C104" i="1"/>
  <c r="D104" i="1"/>
  <c r="E104" i="1"/>
  <c r="F104" i="1"/>
  <c r="G104" i="1"/>
  <c r="H104" i="1"/>
  <c r="S104" i="1" s="1"/>
  <c r="I104" i="1"/>
  <c r="J104" i="1"/>
  <c r="T104" i="1" s="1"/>
  <c r="K104" i="1"/>
  <c r="L104" i="1"/>
  <c r="N104" i="1"/>
  <c r="O104" i="1"/>
  <c r="U104" i="1"/>
  <c r="A105" i="1"/>
  <c r="B105" i="1"/>
  <c r="C105" i="1"/>
  <c r="D105" i="1"/>
  <c r="E105" i="1"/>
  <c r="F105" i="1"/>
  <c r="G105" i="1"/>
  <c r="H105" i="1"/>
  <c r="S105" i="1" s="1"/>
  <c r="I105" i="1"/>
  <c r="J105" i="1"/>
  <c r="T105" i="1" s="1"/>
  <c r="U105" i="1" s="1"/>
  <c r="K105" i="1"/>
  <c r="L105" i="1"/>
  <c r="N105" i="1"/>
  <c r="O105" i="1"/>
  <c r="Q105" i="1"/>
  <c r="X105" i="1" s="1"/>
  <c r="A106" i="1"/>
  <c r="B106" i="1"/>
  <c r="C106" i="1"/>
  <c r="D106" i="1"/>
  <c r="E106" i="1"/>
  <c r="F106" i="1"/>
  <c r="G106" i="1"/>
  <c r="H106" i="1"/>
  <c r="S106" i="1" s="1"/>
  <c r="I106" i="1"/>
  <c r="J106" i="1"/>
  <c r="T106" i="1" s="1"/>
  <c r="K106" i="1"/>
  <c r="L106" i="1"/>
  <c r="N106" i="1"/>
  <c r="O106" i="1"/>
  <c r="Q106" i="1"/>
  <c r="X106" i="1" s="1"/>
  <c r="U106" i="1"/>
  <c r="A107" i="1"/>
  <c r="B107" i="1"/>
  <c r="C107" i="1"/>
  <c r="D107" i="1"/>
  <c r="E107" i="1"/>
  <c r="F107" i="1"/>
  <c r="G107" i="1"/>
  <c r="H107" i="1"/>
  <c r="S107" i="1" s="1"/>
  <c r="I107" i="1"/>
  <c r="J107" i="1"/>
  <c r="K107" i="1"/>
  <c r="L107" i="1"/>
  <c r="N107" i="1"/>
  <c r="O107" i="1"/>
  <c r="A108" i="1"/>
  <c r="B108" i="1"/>
  <c r="C108" i="1"/>
  <c r="D108" i="1"/>
  <c r="E108" i="1"/>
  <c r="F108" i="1"/>
  <c r="G108" i="1"/>
  <c r="H108" i="1"/>
  <c r="S108" i="1" s="1"/>
  <c r="I108" i="1"/>
  <c r="J108" i="1"/>
  <c r="T108" i="1" s="1"/>
  <c r="K108" i="1"/>
  <c r="L108" i="1"/>
  <c r="N108" i="1"/>
  <c r="O108" i="1"/>
  <c r="U108" i="1"/>
  <c r="A109" i="1"/>
  <c r="B109" i="1"/>
  <c r="C109" i="1"/>
  <c r="D109" i="1"/>
  <c r="E109" i="1"/>
  <c r="F109" i="1"/>
  <c r="G109" i="1"/>
  <c r="H109" i="1"/>
  <c r="S109" i="1" s="1"/>
  <c r="I109" i="1"/>
  <c r="J109" i="1"/>
  <c r="T109" i="1" s="1"/>
  <c r="U109" i="1" s="1"/>
  <c r="K109" i="1"/>
  <c r="L109" i="1"/>
  <c r="N109" i="1"/>
  <c r="O109" i="1"/>
  <c r="Q109" i="1"/>
  <c r="X109" i="1" s="1"/>
  <c r="A110" i="1"/>
  <c r="B110" i="1"/>
  <c r="C110" i="1"/>
  <c r="D110" i="1"/>
  <c r="E110" i="1"/>
  <c r="F110" i="1"/>
  <c r="G110" i="1"/>
  <c r="H110" i="1"/>
  <c r="S110" i="1" s="1"/>
  <c r="I110" i="1"/>
  <c r="J110" i="1"/>
  <c r="T110" i="1" s="1"/>
  <c r="K110" i="1"/>
  <c r="L110" i="1"/>
  <c r="N110" i="1"/>
  <c r="O110" i="1"/>
  <c r="Q110" i="1"/>
  <c r="X110" i="1" s="1"/>
  <c r="U110" i="1"/>
  <c r="A111" i="1"/>
  <c r="B111" i="1"/>
  <c r="C111" i="1"/>
  <c r="D111" i="1"/>
  <c r="E111" i="1"/>
  <c r="F111" i="1"/>
  <c r="G111" i="1"/>
  <c r="H111" i="1"/>
  <c r="S111" i="1" s="1"/>
  <c r="I111" i="1"/>
  <c r="J111" i="1"/>
  <c r="K111" i="1"/>
  <c r="L111" i="1"/>
  <c r="N111" i="1"/>
  <c r="O111" i="1"/>
  <c r="A112" i="1"/>
  <c r="B112" i="1"/>
  <c r="C112" i="1"/>
  <c r="D112" i="1"/>
  <c r="E112" i="1"/>
  <c r="F112" i="1"/>
  <c r="G112" i="1"/>
  <c r="H112" i="1"/>
  <c r="S112" i="1" s="1"/>
  <c r="I112" i="1"/>
  <c r="J112" i="1"/>
  <c r="T112" i="1" s="1"/>
  <c r="K112" i="1"/>
  <c r="L112" i="1"/>
  <c r="N112" i="1"/>
  <c r="O112" i="1"/>
  <c r="U112" i="1"/>
  <c r="A113" i="1"/>
  <c r="B113" i="1"/>
  <c r="C113" i="1"/>
  <c r="D113" i="1"/>
  <c r="E113" i="1"/>
  <c r="F113" i="1"/>
  <c r="G113" i="1"/>
  <c r="H113" i="1"/>
  <c r="I113" i="1"/>
  <c r="J113" i="1"/>
  <c r="T113" i="1" s="1"/>
  <c r="U113" i="1" s="1"/>
  <c r="AT113" i="1" s="1"/>
  <c r="K113" i="1"/>
  <c r="L113" i="1"/>
  <c r="N113" i="1"/>
  <c r="O113" i="1"/>
  <c r="Q113" i="1"/>
  <c r="X113" i="1" s="1"/>
  <c r="S113" i="1"/>
  <c r="A114" i="1"/>
  <c r="B114" i="1"/>
  <c r="C114" i="1"/>
  <c r="D114" i="1"/>
  <c r="E114" i="1"/>
  <c r="F114" i="1"/>
  <c r="G114" i="1"/>
  <c r="H114" i="1"/>
  <c r="I114" i="1"/>
  <c r="U114" i="1" s="1"/>
  <c r="J114" i="1"/>
  <c r="T114" i="1" s="1"/>
  <c r="K114" i="1"/>
  <c r="L114" i="1"/>
  <c r="M114" i="1"/>
  <c r="N114" i="1"/>
  <c r="O114" i="1"/>
  <c r="Q114" i="1"/>
  <c r="R114" i="1"/>
  <c r="Y114" i="1" s="1"/>
  <c r="S114" i="1"/>
  <c r="V114" i="1"/>
  <c r="W114" i="1"/>
  <c r="AE114" i="1" s="1"/>
  <c r="X114" i="1"/>
  <c r="AA114" i="1"/>
  <c r="AI114" i="1"/>
  <c r="AM114" i="1"/>
  <c r="AQ114" i="1"/>
  <c r="AY114" i="1"/>
  <c r="BC114" i="1"/>
  <c r="BG114" i="1"/>
  <c r="BO114" i="1"/>
  <c r="BS114" i="1"/>
  <c r="BW114" i="1"/>
  <c r="A115" i="1"/>
  <c r="B115" i="1"/>
  <c r="C115" i="1"/>
  <c r="D115" i="1"/>
  <c r="E115" i="1"/>
  <c r="F115" i="1"/>
  <c r="G115" i="1"/>
  <c r="H115" i="1"/>
  <c r="I115" i="1"/>
  <c r="J115" i="1"/>
  <c r="T115" i="1" s="1"/>
  <c r="K115" i="1"/>
  <c r="L115" i="1"/>
  <c r="M115" i="1"/>
  <c r="N115" i="1"/>
  <c r="O115" i="1"/>
  <c r="Q115" i="1"/>
  <c r="R115" i="1"/>
  <c r="Y115" i="1" s="1"/>
  <c r="S115" i="1"/>
  <c r="V115" i="1"/>
  <c r="W115" i="1"/>
  <c r="X115" i="1"/>
  <c r="AA115" i="1"/>
  <c r="AE115" i="1"/>
  <c r="AI115" i="1"/>
  <c r="AM115" i="1"/>
  <c r="AQ115" i="1"/>
  <c r="AU115" i="1"/>
  <c r="AY115" i="1"/>
  <c r="BC115" i="1"/>
  <c r="BG115" i="1"/>
  <c r="BK115" i="1"/>
  <c r="BO115" i="1"/>
  <c r="BS115" i="1"/>
  <c r="BW115" i="1"/>
  <c r="CA115" i="1"/>
  <c r="A116" i="1"/>
  <c r="B116" i="1"/>
  <c r="C116" i="1"/>
  <c r="D116" i="1"/>
  <c r="E116" i="1"/>
  <c r="F116" i="1"/>
  <c r="G116" i="1"/>
  <c r="H116" i="1"/>
  <c r="I116" i="1"/>
  <c r="J116" i="1"/>
  <c r="T116" i="1" s="1"/>
  <c r="K116" i="1"/>
  <c r="L116" i="1"/>
  <c r="M116" i="1"/>
  <c r="N116" i="1"/>
  <c r="O116" i="1"/>
  <c r="Q116" i="1"/>
  <c r="R116" i="1"/>
  <c r="Y116" i="1" s="1"/>
  <c r="S116" i="1"/>
  <c r="V116" i="1"/>
  <c r="W116" i="1"/>
  <c r="AM116" i="1" s="1"/>
  <c r="X116" i="1"/>
  <c r="AE116" i="1"/>
  <c r="AI116" i="1"/>
  <c r="AU116" i="1"/>
  <c r="AY116" i="1"/>
  <c r="BK116" i="1"/>
  <c r="BO116" i="1"/>
  <c r="CA116" i="1"/>
  <c r="A117" i="1"/>
  <c r="B117" i="1"/>
  <c r="C117" i="1"/>
  <c r="D117" i="1"/>
  <c r="E117" i="1"/>
  <c r="F117" i="1"/>
  <c r="G117" i="1"/>
  <c r="H117" i="1"/>
  <c r="I117" i="1"/>
  <c r="U117" i="1" s="1"/>
  <c r="J117" i="1"/>
  <c r="T117" i="1" s="1"/>
  <c r="K117" i="1"/>
  <c r="L117" i="1"/>
  <c r="M117" i="1"/>
  <c r="N117" i="1"/>
  <c r="O117" i="1"/>
  <c r="Q117" i="1"/>
  <c r="R117" i="1"/>
  <c r="Y117" i="1" s="1"/>
  <c r="S117" i="1"/>
  <c r="V117" i="1"/>
  <c r="W117" i="1"/>
  <c r="AM117" i="1" s="1"/>
  <c r="X117" i="1"/>
  <c r="A118" i="1"/>
  <c r="B118" i="1"/>
  <c r="C118" i="1"/>
  <c r="D118" i="1"/>
  <c r="E118" i="1"/>
  <c r="F118" i="1"/>
  <c r="G118" i="1"/>
  <c r="H118" i="1"/>
  <c r="I118" i="1"/>
  <c r="U118" i="1" s="1"/>
  <c r="J118" i="1"/>
  <c r="T118" i="1" s="1"/>
  <c r="K118" i="1"/>
  <c r="L118" i="1"/>
  <c r="M118" i="1"/>
  <c r="N118" i="1"/>
  <c r="O118" i="1"/>
  <c r="Q118" i="1"/>
  <c r="R118" i="1"/>
  <c r="Y118" i="1" s="1"/>
  <c r="S118" i="1"/>
  <c r="V118" i="1"/>
  <c r="W118" i="1"/>
  <c r="AE118" i="1" s="1"/>
  <c r="X118" i="1"/>
  <c r="AA118" i="1"/>
  <c r="AI118" i="1"/>
  <c r="AM118" i="1"/>
  <c r="AQ118" i="1"/>
  <c r="AY118" i="1"/>
  <c r="BC118" i="1"/>
  <c r="BG118" i="1"/>
  <c r="BO118" i="1"/>
  <c r="BS118" i="1"/>
  <c r="BW118" i="1"/>
  <c r="A119" i="1"/>
  <c r="B119" i="1"/>
  <c r="C119" i="1"/>
  <c r="D119" i="1"/>
  <c r="E119" i="1"/>
  <c r="F119" i="1"/>
  <c r="G119" i="1"/>
  <c r="H119" i="1"/>
  <c r="I119" i="1"/>
  <c r="J119" i="1"/>
  <c r="T119" i="1" s="1"/>
  <c r="K119" i="1"/>
  <c r="L119" i="1"/>
  <c r="M119" i="1"/>
  <c r="N119" i="1"/>
  <c r="O119" i="1"/>
  <c r="Q119" i="1"/>
  <c r="R119" i="1"/>
  <c r="Y119" i="1" s="1"/>
  <c r="S119" i="1"/>
  <c r="V119" i="1"/>
  <c r="W119" i="1"/>
  <c r="X119" i="1"/>
  <c r="AA119" i="1"/>
  <c r="AE119" i="1"/>
  <c r="AI119" i="1"/>
  <c r="AM119" i="1"/>
  <c r="AQ119" i="1"/>
  <c r="AU119" i="1"/>
  <c r="AY119" i="1"/>
  <c r="BC119" i="1"/>
  <c r="BG119" i="1"/>
  <c r="BK119" i="1"/>
  <c r="BO119" i="1"/>
  <c r="BS119" i="1"/>
  <c r="BW119" i="1"/>
  <c r="CA119" i="1"/>
  <c r="A120" i="1"/>
  <c r="B120" i="1"/>
  <c r="C120" i="1"/>
  <c r="D120" i="1"/>
  <c r="E120" i="1"/>
  <c r="F120" i="1"/>
  <c r="G120" i="1"/>
  <c r="H120" i="1"/>
  <c r="I120" i="1"/>
  <c r="J120" i="1"/>
  <c r="T120" i="1" s="1"/>
  <c r="K120" i="1"/>
  <c r="L120" i="1"/>
  <c r="M120" i="1"/>
  <c r="N120" i="1"/>
  <c r="O120" i="1"/>
  <c r="Q120" i="1"/>
  <c r="R120" i="1"/>
  <c r="Y120" i="1" s="1"/>
  <c r="S120" i="1"/>
  <c r="V120" i="1"/>
  <c r="W120" i="1"/>
  <c r="AM120" i="1" s="1"/>
  <c r="X120" i="1"/>
  <c r="AE120" i="1"/>
  <c r="AI120" i="1"/>
  <c r="AU120" i="1"/>
  <c r="AY120" i="1"/>
  <c r="BK120" i="1"/>
  <c r="BO120" i="1"/>
  <c r="CA120" i="1"/>
  <c r="A121" i="1"/>
  <c r="B121" i="1"/>
  <c r="C121" i="1"/>
  <c r="D121" i="1"/>
  <c r="E121" i="1"/>
  <c r="F121" i="1"/>
  <c r="G121" i="1"/>
  <c r="H121" i="1"/>
  <c r="I121" i="1"/>
  <c r="U121" i="1" s="1"/>
  <c r="J121" i="1"/>
  <c r="T121" i="1" s="1"/>
  <c r="K121" i="1"/>
  <c r="L121" i="1"/>
  <c r="M121" i="1"/>
  <c r="N121" i="1"/>
  <c r="O121" i="1"/>
  <c r="Q121" i="1"/>
  <c r="R121" i="1"/>
  <c r="Y121" i="1" s="1"/>
  <c r="S121" i="1"/>
  <c r="V121" i="1"/>
  <c r="W121" i="1"/>
  <c r="AM121" i="1" s="1"/>
  <c r="X121" i="1"/>
  <c r="A122" i="1"/>
  <c r="B122" i="1"/>
  <c r="C122" i="1"/>
  <c r="D122" i="1"/>
  <c r="E122" i="1"/>
  <c r="F122" i="1"/>
  <c r="G122" i="1"/>
  <c r="H122" i="1"/>
  <c r="I122" i="1"/>
  <c r="U122" i="1" s="1"/>
  <c r="J122" i="1"/>
  <c r="T122" i="1" s="1"/>
  <c r="K122" i="1"/>
  <c r="L122" i="1"/>
  <c r="M122" i="1"/>
  <c r="N122" i="1"/>
  <c r="O122" i="1"/>
  <c r="Q122" i="1"/>
  <c r="R122" i="1"/>
  <c r="Y122" i="1" s="1"/>
  <c r="S122" i="1"/>
  <c r="V122" i="1"/>
  <c r="W122" i="1"/>
  <c r="AE122" i="1" s="1"/>
  <c r="X122" i="1"/>
  <c r="AA122" i="1"/>
  <c r="AI122" i="1"/>
  <c r="AM122" i="1"/>
  <c r="AQ122" i="1"/>
  <c r="AY122" i="1"/>
  <c r="BC122" i="1"/>
  <c r="BG122" i="1"/>
  <c r="BO122" i="1"/>
  <c r="BS122" i="1"/>
  <c r="BW122" i="1"/>
  <c r="A123" i="1"/>
  <c r="B123" i="1"/>
  <c r="C123" i="1"/>
  <c r="D123" i="1"/>
  <c r="E123" i="1"/>
  <c r="F123" i="1"/>
  <c r="G123" i="1"/>
  <c r="H123" i="1"/>
  <c r="I123" i="1"/>
  <c r="J123" i="1"/>
  <c r="T123" i="1" s="1"/>
  <c r="K123" i="1"/>
  <c r="L123" i="1"/>
  <c r="M123" i="1"/>
  <c r="N123" i="1"/>
  <c r="O123" i="1"/>
  <c r="Q123" i="1"/>
  <c r="R123" i="1"/>
  <c r="Y123" i="1" s="1"/>
  <c r="S123" i="1"/>
  <c r="V123" i="1"/>
  <c r="W123" i="1"/>
  <c r="X123" i="1"/>
  <c r="AA123" i="1"/>
  <c r="AE123" i="1"/>
  <c r="AI123" i="1"/>
  <c r="AM123" i="1"/>
  <c r="AQ123" i="1"/>
  <c r="AU123" i="1"/>
  <c r="AY123" i="1"/>
  <c r="BC123" i="1"/>
  <c r="BG123" i="1"/>
  <c r="BK123" i="1"/>
  <c r="BO123" i="1"/>
  <c r="BS123" i="1"/>
  <c r="BW123" i="1"/>
  <c r="CA123" i="1"/>
  <c r="A124" i="1"/>
  <c r="B124" i="1"/>
  <c r="C124" i="1"/>
  <c r="D124" i="1"/>
  <c r="E124" i="1"/>
  <c r="F124" i="1"/>
  <c r="G124" i="1"/>
  <c r="H124" i="1"/>
  <c r="I124" i="1"/>
  <c r="J124" i="1"/>
  <c r="T124" i="1" s="1"/>
  <c r="K124" i="1"/>
  <c r="L124" i="1"/>
  <c r="M124" i="1"/>
  <c r="N124" i="1"/>
  <c r="O124" i="1"/>
  <c r="Q124" i="1"/>
  <c r="R124" i="1"/>
  <c r="Y124" i="1" s="1"/>
  <c r="S124" i="1"/>
  <c r="V124" i="1"/>
  <c r="W124" i="1"/>
  <c r="AM124" i="1" s="1"/>
  <c r="X124" i="1"/>
  <c r="AE124" i="1"/>
  <c r="AI124" i="1"/>
  <c r="AU124" i="1"/>
  <c r="AY124" i="1"/>
  <c r="BK124" i="1"/>
  <c r="BO124" i="1"/>
  <c r="CA124" i="1"/>
  <c r="A125" i="1"/>
  <c r="B125" i="1"/>
  <c r="C125" i="1"/>
  <c r="D125" i="1"/>
  <c r="E125" i="1"/>
  <c r="F125" i="1"/>
  <c r="G125" i="1"/>
  <c r="H125" i="1"/>
  <c r="I125" i="1"/>
  <c r="U125" i="1" s="1"/>
  <c r="J125" i="1"/>
  <c r="T125" i="1" s="1"/>
  <c r="K125" i="1"/>
  <c r="L125" i="1"/>
  <c r="M125" i="1"/>
  <c r="N125" i="1"/>
  <c r="O125" i="1"/>
  <c r="Q125" i="1"/>
  <c r="R125" i="1"/>
  <c r="Y125" i="1" s="1"/>
  <c r="S125" i="1"/>
  <c r="V125" i="1"/>
  <c r="W125" i="1"/>
  <c r="AM125" i="1" s="1"/>
  <c r="X125" i="1"/>
  <c r="A126" i="1"/>
  <c r="B126" i="1"/>
  <c r="C126" i="1"/>
  <c r="D126" i="1"/>
  <c r="E126" i="1"/>
  <c r="F126" i="1"/>
  <c r="G126" i="1"/>
  <c r="H126" i="1"/>
  <c r="I126" i="1"/>
  <c r="U126" i="1" s="1"/>
  <c r="J126" i="1"/>
  <c r="T126" i="1" s="1"/>
  <c r="K126" i="1"/>
  <c r="L126" i="1"/>
  <c r="M126" i="1"/>
  <c r="N126" i="1"/>
  <c r="O126" i="1"/>
  <c r="Q126" i="1"/>
  <c r="R126" i="1"/>
  <c r="Y126" i="1" s="1"/>
  <c r="S126" i="1"/>
  <c r="V126" i="1"/>
  <c r="W126" i="1"/>
  <c r="AE126" i="1" s="1"/>
  <c r="X126" i="1"/>
  <c r="AA126" i="1"/>
  <c r="AI126" i="1"/>
  <c r="AM126" i="1"/>
  <c r="AQ126" i="1"/>
  <c r="AY126" i="1"/>
  <c r="BC126" i="1"/>
  <c r="BG126" i="1"/>
  <c r="BO126" i="1"/>
  <c r="BS126" i="1"/>
  <c r="BW126" i="1"/>
  <c r="A127" i="1"/>
  <c r="B127" i="1"/>
  <c r="C127" i="1"/>
  <c r="D127" i="1"/>
  <c r="E127" i="1"/>
  <c r="F127" i="1"/>
  <c r="G127" i="1"/>
  <c r="H127" i="1"/>
  <c r="I127" i="1"/>
  <c r="J127" i="1"/>
  <c r="T127" i="1" s="1"/>
  <c r="K127" i="1"/>
  <c r="L127" i="1"/>
  <c r="M127" i="1"/>
  <c r="N127" i="1"/>
  <c r="O127" i="1"/>
  <c r="Q127" i="1"/>
  <c r="R127" i="1"/>
  <c r="Y127" i="1" s="1"/>
  <c r="S127" i="1"/>
  <c r="V127" i="1"/>
  <c r="W127" i="1"/>
  <c r="X127" i="1"/>
  <c r="AA127" i="1"/>
  <c r="AE127" i="1"/>
  <c r="AI127" i="1"/>
  <c r="AM127" i="1"/>
  <c r="AQ127" i="1"/>
  <c r="AU127" i="1"/>
  <c r="AY127" i="1"/>
  <c r="BC127" i="1"/>
  <c r="BG127" i="1"/>
  <c r="BK127" i="1"/>
  <c r="BO127" i="1"/>
  <c r="BS127" i="1"/>
  <c r="BW127" i="1"/>
  <c r="CA127" i="1"/>
  <c r="A128" i="1"/>
  <c r="B128" i="1"/>
  <c r="C128" i="1"/>
  <c r="D128" i="1"/>
  <c r="E128" i="1"/>
  <c r="F128" i="1"/>
  <c r="G128" i="1"/>
  <c r="H128" i="1"/>
  <c r="I128" i="1"/>
  <c r="J128" i="1"/>
  <c r="T128" i="1" s="1"/>
  <c r="K128" i="1"/>
  <c r="L128" i="1"/>
  <c r="M128" i="1"/>
  <c r="N128" i="1"/>
  <c r="O128" i="1"/>
  <c r="Q128" i="1"/>
  <c r="R128" i="1"/>
  <c r="Y128" i="1" s="1"/>
  <c r="S128" i="1"/>
  <c r="V128" i="1"/>
  <c r="W128" i="1"/>
  <c r="AM128" i="1" s="1"/>
  <c r="X128" i="1"/>
  <c r="AE128" i="1"/>
  <c r="AI128" i="1"/>
  <c r="AU128" i="1"/>
  <c r="AY128" i="1"/>
  <c r="BK128" i="1"/>
  <c r="BO128" i="1"/>
  <c r="CA128" i="1"/>
  <c r="A129" i="1"/>
  <c r="B129" i="1"/>
  <c r="C129" i="1"/>
  <c r="D129" i="1"/>
  <c r="E129" i="1"/>
  <c r="F129" i="1"/>
  <c r="G129" i="1"/>
  <c r="H129" i="1"/>
  <c r="I129" i="1"/>
  <c r="U129" i="1" s="1"/>
  <c r="J129" i="1"/>
  <c r="T129" i="1" s="1"/>
  <c r="K129" i="1"/>
  <c r="L129" i="1"/>
  <c r="M129" i="1"/>
  <c r="N129" i="1"/>
  <c r="O129" i="1"/>
  <c r="Q129" i="1"/>
  <c r="R129" i="1"/>
  <c r="Y129" i="1" s="1"/>
  <c r="S129" i="1"/>
  <c r="V129" i="1"/>
  <c r="W129" i="1"/>
  <c r="AM129" i="1" s="1"/>
  <c r="X129" i="1"/>
  <c r="AI129" i="1"/>
  <c r="AY129" i="1"/>
  <c r="BO129" i="1"/>
  <c r="A130" i="1"/>
  <c r="B130" i="1"/>
  <c r="C130" i="1"/>
  <c r="D130" i="1"/>
  <c r="E130" i="1"/>
  <c r="F130" i="1"/>
  <c r="G130" i="1"/>
  <c r="H130" i="1"/>
  <c r="I130" i="1"/>
  <c r="U130" i="1" s="1"/>
  <c r="J130" i="1"/>
  <c r="T130" i="1" s="1"/>
  <c r="K130" i="1"/>
  <c r="L130" i="1"/>
  <c r="M130" i="1"/>
  <c r="N130" i="1"/>
  <c r="O130" i="1"/>
  <c r="Q130" i="1"/>
  <c r="R130" i="1"/>
  <c r="Y130" i="1" s="1"/>
  <c r="S130" i="1"/>
  <c r="V130" i="1"/>
  <c r="W130" i="1"/>
  <c r="AE130" i="1" s="1"/>
  <c r="X130" i="1"/>
  <c r="AA130" i="1"/>
  <c r="AI130" i="1"/>
  <c r="AM130" i="1"/>
  <c r="AQ130" i="1"/>
  <c r="AY130" i="1"/>
  <c r="BC130" i="1"/>
  <c r="BG130" i="1"/>
  <c r="BO130" i="1"/>
  <c r="BS130" i="1"/>
  <c r="BW130" i="1"/>
  <c r="A131" i="1"/>
  <c r="B131" i="1"/>
  <c r="C131" i="1"/>
  <c r="D131" i="1"/>
  <c r="E131" i="1"/>
  <c r="F131" i="1"/>
  <c r="G131" i="1"/>
  <c r="H131" i="1"/>
  <c r="I131" i="1"/>
  <c r="J131" i="1"/>
  <c r="T131" i="1" s="1"/>
  <c r="K131" i="1"/>
  <c r="L131" i="1"/>
  <c r="M131" i="1"/>
  <c r="W131" i="1" s="1"/>
  <c r="N131" i="1"/>
  <c r="O131" i="1"/>
  <c r="Q131" i="1"/>
  <c r="R131" i="1"/>
  <c r="Y131" i="1" s="1"/>
  <c r="S131" i="1"/>
  <c r="V131" i="1"/>
  <c r="X131" i="1"/>
  <c r="A132" i="1"/>
  <c r="B132" i="1"/>
  <c r="C132" i="1"/>
  <c r="D132" i="1"/>
  <c r="E132" i="1"/>
  <c r="F132" i="1"/>
  <c r="G132" i="1"/>
  <c r="H132" i="1"/>
  <c r="I132" i="1"/>
  <c r="U132" i="1" s="1"/>
  <c r="Z132" i="1" s="1"/>
  <c r="J132" i="1"/>
  <c r="T132" i="1" s="1"/>
  <c r="K132" i="1"/>
  <c r="L132" i="1"/>
  <c r="M132" i="1"/>
  <c r="W132" i="1" s="1"/>
  <c r="N132" i="1"/>
  <c r="O132" i="1"/>
  <c r="Q132" i="1"/>
  <c r="R132" i="1"/>
  <c r="Y132" i="1" s="1"/>
  <c r="S132" i="1"/>
  <c r="V132" i="1"/>
  <c r="X132" i="1"/>
  <c r="A133" i="1"/>
  <c r="B133" i="1"/>
  <c r="C133" i="1"/>
  <c r="D133" i="1"/>
  <c r="E133" i="1"/>
  <c r="F133" i="1"/>
  <c r="G133" i="1"/>
  <c r="H133" i="1"/>
  <c r="I133" i="1"/>
  <c r="U133" i="1" s="1"/>
  <c r="Z133" i="1" s="1"/>
  <c r="J133" i="1"/>
  <c r="T133" i="1" s="1"/>
  <c r="K133" i="1"/>
  <c r="L133" i="1"/>
  <c r="M133" i="1"/>
  <c r="N133" i="1"/>
  <c r="O133" i="1"/>
  <c r="Q133" i="1"/>
  <c r="R133" i="1"/>
  <c r="Y133" i="1" s="1"/>
  <c r="S133" i="1"/>
  <c r="V133" i="1"/>
  <c r="W133" i="1"/>
  <c r="AE133" i="1" s="1"/>
  <c r="X133" i="1"/>
  <c r="AD133" i="1"/>
  <c r="AL133" i="1"/>
  <c r="AT133" i="1"/>
  <c r="BB133" i="1"/>
  <c r="BJ133" i="1"/>
  <c r="BR133" i="1"/>
  <c r="BZ133" i="1"/>
  <c r="A134" i="1"/>
  <c r="B134" i="1"/>
  <c r="C134" i="1"/>
  <c r="D134" i="1"/>
  <c r="E134" i="1"/>
  <c r="F134" i="1"/>
  <c r="G134" i="1"/>
  <c r="H134" i="1"/>
  <c r="I134" i="1"/>
  <c r="J134" i="1"/>
  <c r="T134" i="1" s="1"/>
  <c r="K134" i="1"/>
  <c r="L134" i="1"/>
  <c r="M134" i="1"/>
  <c r="N134" i="1"/>
  <c r="O134" i="1"/>
  <c r="Q134" i="1"/>
  <c r="R134" i="1"/>
  <c r="Y134" i="1" s="1"/>
  <c r="S134" i="1"/>
  <c r="V134" i="1"/>
  <c r="W134" i="1"/>
  <c r="AE134" i="1" s="1"/>
  <c r="X134" i="1"/>
  <c r="AA134" i="1"/>
  <c r="AI134" i="1"/>
  <c r="AQ134" i="1"/>
  <c r="AY134" i="1"/>
  <c r="BG134" i="1"/>
  <c r="BO134" i="1"/>
  <c r="BW134" i="1"/>
  <c r="A135" i="1"/>
  <c r="B135" i="1"/>
  <c r="C135" i="1"/>
  <c r="D135" i="1"/>
  <c r="E135" i="1"/>
  <c r="F135" i="1"/>
  <c r="G135" i="1"/>
  <c r="H135" i="1"/>
  <c r="I135" i="1"/>
  <c r="J135" i="1"/>
  <c r="T135" i="1" s="1"/>
  <c r="K135" i="1"/>
  <c r="L135" i="1"/>
  <c r="M135" i="1"/>
  <c r="N135" i="1"/>
  <c r="O135" i="1"/>
  <c r="Q135" i="1"/>
  <c r="R135" i="1"/>
  <c r="Y135" i="1" s="1"/>
  <c r="AF135" i="1" s="1"/>
  <c r="S135" i="1"/>
  <c r="V135" i="1"/>
  <c r="W135" i="1"/>
  <c r="AA135" i="1" s="1"/>
  <c r="X135" i="1"/>
  <c r="AB135" i="1"/>
  <c r="AE135" i="1"/>
  <c r="AI135" i="1"/>
  <c r="AJ135" i="1"/>
  <c r="AM135" i="1"/>
  <c r="AN135" i="1"/>
  <c r="AR135" i="1"/>
  <c r="AU135" i="1"/>
  <c r="AY135" i="1"/>
  <c r="AZ135" i="1"/>
  <c r="BC135" i="1"/>
  <c r="BD135" i="1"/>
  <c r="BH135" i="1"/>
  <c r="BK135" i="1"/>
  <c r="BO135" i="1"/>
  <c r="BP135" i="1"/>
  <c r="BS135" i="1"/>
  <c r="BT135" i="1"/>
  <c r="BX135" i="1"/>
  <c r="CA135" i="1"/>
  <c r="A136" i="1"/>
  <c r="B136" i="1"/>
  <c r="C136" i="1"/>
  <c r="D136" i="1"/>
  <c r="E136" i="1"/>
  <c r="F136" i="1"/>
  <c r="G136" i="1"/>
  <c r="H136" i="1"/>
  <c r="I136" i="1"/>
  <c r="J136" i="1"/>
  <c r="T136" i="1" s="1"/>
  <c r="K136" i="1"/>
  <c r="W136" i="1" s="1"/>
  <c r="L136" i="1"/>
  <c r="M136" i="1"/>
  <c r="N136" i="1"/>
  <c r="O136" i="1"/>
  <c r="Q136" i="1"/>
  <c r="R136" i="1"/>
  <c r="S136" i="1"/>
  <c r="V136" i="1"/>
  <c r="X136" i="1"/>
  <c r="A137" i="1"/>
  <c r="B137" i="1"/>
  <c r="C137" i="1"/>
  <c r="D137" i="1"/>
  <c r="E137" i="1"/>
  <c r="F137" i="1"/>
  <c r="G137" i="1"/>
  <c r="H137" i="1"/>
  <c r="I137" i="1"/>
  <c r="J137" i="1"/>
  <c r="T137" i="1" s="1"/>
  <c r="K137" i="1"/>
  <c r="W137" i="1" s="1"/>
  <c r="L137" i="1"/>
  <c r="M137" i="1"/>
  <c r="N137" i="1"/>
  <c r="O137" i="1"/>
  <c r="Q137" i="1"/>
  <c r="R137" i="1"/>
  <c r="Y137" i="1" s="1"/>
  <c r="AF137" i="1" s="1"/>
  <c r="S137" i="1"/>
  <c r="V137" i="1"/>
  <c r="X137" i="1"/>
  <c r="AB137" i="1"/>
  <c r="AJ137" i="1"/>
  <c r="AN137" i="1"/>
  <c r="AR137" i="1"/>
  <c r="AZ137" i="1"/>
  <c r="BD137" i="1"/>
  <c r="BH137" i="1"/>
  <c r="BP137" i="1"/>
  <c r="BT137" i="1"/>
  <c r="BX137" i="1"/>
  <c r="A138" i="1"/>
  <c r="B138" i="1"/>
  <c r="C138" i="1"/>
  <c r="D138" i="1"/>
  <c r="E138" i="1"/>
  <c r="F138" i="1"/>
  <c r="G138" i="1"/>
  <c r="H138" i="1"/>
  <c r="I138" i="1"/>
  <c r="J138" i="1"/>
  <c r="T138" i="1" s="1"/>
  <c r="K138" i="1"/>
  <c r="W138" i="1" s="1"/>
  <c r="L138" i="1"/>
  <c r="M138" i="1"/>
  <c r="N138" i="1"/>
  <c r="O138" i="1"/>
  <c r="Q138" i="1"/>
  <c r="R138" i="1"/>
  <c r="Y138" i="1" s="1"/>
  <c r="AF138" i="1" s="1"/>
  <c r="S138" i="1"/>
  <c r="V138" i="1"/>
  <c r="X138" i="1"/>
  <c r="AB138" i="1"/>
  <c r="AJ138" i="1"/>
  <c r="AN138" i="1"/>
  <c r="AR138" i="1"/>
  <c r="AZ138" i="1"/>
  <c r="BD138" i="1"/>
  <c r="BH138" i="1"/>
  <c r="BP138" i="1"/>
  <c r="BT138" i="1"/>
  <c r="BX138" i="1"/>
  <c r="A139" i="1"/>
  <c r="B139" i="1"/>
  <c r="C139" i="1"/>
  <c r="D139" i="1"/>
  <c r="E139" i="1"/>
  <c r="F139" i="1"/>
  <c r="G139" i="1"/>
  <c r="H139" i="1"/>
  <c r="I139" i="1"/>
  <c r="J139" i="1"/>
  <c r="T139" i="1" s="1"/>
  <c r="K139" i="1"/>
  <c r="W139" i="1" s="1"/>
  <c r="L139" i="1"/>
  <c r="M139" i="1"/>
  <c r="N139" i="1"/>
  <c r="O139" i="1"/>
  <c r="Q139" i="1"/>
  <c r="R139" i="1"/>
  <c r="Y139" i="1" s="1"/>
  <c r="AF139" i="1" s="1"/>
  <c r="S139" i="1"/>
  <c r="V139" i="1"/>
  <c r="X139" i="1"/>
  <c r="AB139" i="1"/>
  <c r="AJ139" i="1"/>
  <c r="AN139" i="1"/>
  <c r="AR139" i="1"/>
  <c r="AZ139" i="1"/>
  <c r="BD139" i="1"/>
  <c r="BH139" i="1"/>
  <c r="BP139" i="1"/>
  <c r="BT139" i="1"/>
  <c r="BX139" i="1"/>
  <c r="A140" i="1"/>
  <c r="B140" i="1"/>
  <c r="C140" i="1"/>
  <c r="D140" i="1"/>
  <c r="E140" i="1"/>
  <c r="F140" i="1"/>
  <c r="G140" i="1"/>
  <c r="H140" i="1"/>
  <c r="I140" i="1"/>
  <c r="J140" i="1"/>
  <c r="T140" i="1" s="1"/>
  <c r="K140" i="1"/>
  <c r="W140" i="1" s="1"/>
  <c r="L140" i="1"/>
  <c r="M140" i="1"/>
  <c r="N140" i="1"/>
  <c r="O140" i="1"/>
  <c r="Q140" i="1"/>
  <c r="R140" i="1"/>
  <c r="Y140" i="1" s="1"/>
  <c r="AF140" i="1" s="1"/>
  <c r="S140" i="1"/>
  <c r="V140" i="1"/>
  <c r="X140" i="1"/>
  <c r="AB140" i="1"/>
  <c r="AJ140" i="1"/>
  <c r="AN140" i="1"/>
  <c r="AR140" i="1"/>
  <c r="AZ140" i="1"/>
  <c r="BD140" i="1"/>
  <c r="BH140" i="1"/>
  <c r="BP140" i="1"/>
  <c r="BT140" i="1"/>
  <c r="BX140" i="1"/>
  <c r="A141" i="1"/>
  <c r="B141" i="1"/>
  <c r="C141" i="1"/>
  <c r="D141" i="1"/>
  <c r="E141" i="1"/>
  <c r="F141" i="1"/>
  <c r="G141" i="1"/>
  <c r="H141" i="1"/>
  <c r="I141" i="1"/>
  <c r="J141" i="1"/>
  <c r="T141" i="1" s="1"/>
  <c r="K141" i="1"/>
  <c r="W141" i="1" s="1"/>
  <c r="L141" i="1"/>
  <c r="M141" i="1"/>
  <c r="N141" i="1"/>
  <c r="O141" i="1"/>
  <c r="Q141" i="1"/>
  <c r="R141" i="1"/>
  <c r="S141" i="1"/>
  <c r="V141" i="1"/>
  <c r="X141" i="1"/>
  <c r="A142" i="1"/>
  <c r="B142" i="1"/>
  <c r="C142" i="1"/>
  <c r="D142" i="1"/>
  <c r="E142" i="1"/>
  <c r="F142" i="1"/>
  <c r="G142" i="1"/>
  <c r="H142" i="1"/>
  <c r="I142" i="1"/>
  <c r="J142" i="1"/>
  <c r="T142" i="1" s="1"/>
  <c r="K142" i="1"/>
  <c r="W142" i="1" s="1"/>
  <c r="L142" i="1"/>
  <c r="M142" i="1"/>
  <c r="N142" i="1"/>
  <c r="O142" i="1"/>
  <c r="Q142" i="1"/>
  <c r="R142" i="1"/>
  <c r="Y142" i="1" s="1"/>
  <c r="AF142" i="1" s="1"/>
  <c r="S142" i="1"/>
  <c r="V142" i="1"/>
  <c r="X142" i="1"/>
  <c r="AB142" i="1"/>
  <c r="AJ142" i="1"/>
  <c r="AN142" i="1"/>
  <c r="AR142" i="1"/>
  <c r="AZ142" i="1"/>
  <c r="BD142" i="1"/>
  <c r="BH142" i="1"/>
  <c r="BP142" i="1"/>
  <c r="BT142" i="1"/>
  <c r="BX142" i="1"/>
  <c r="A143" i="1"/>
  <c r="B143" i="1"/>
  <c r="C143" i="1"/>
  <c r="D143" i="1"/>
  <c r="E143" i="1"/>
  <c r="F143" i="1"/>
  <c r="G143" i="1"/>
  <c r="H143" i="1"/>
  <c r="I143" i="1"/>
  <c r="J143" i="1"/>
  <c r="T143" i="1" s="1"/>
  <c r="K143" i="1"/>
  <c r="W143" i="1" s="1"/>
  <c r="L143" i="1"/>
  <c r="M143" i="1"/>
  <c r="N143" i="1"/>
  <c r="O143" i="1"/>
  <c r="Q143" i="1"/>
  <c r="R143" i="1"/>
  <c r="S143" i="1"/>
  <c r="V143" i="1"/>
  <c r="X143" i="1"/>
  <c r="A144" i="1"/>
  <c r="B144" i="1"/>
  <c r="C144" i="1"/>
  <c r="D144" i="1"/>
  <c r="E144" i="1"/>
  <c r="F144" i="1"/>
  <c r="G144" i="1"/>
  <c r="H144" i="1"/>
  <c r="I144" i="1"/>
  <c r="J144" i="1"/>
  <c r="T144" i="1" s="1"/>
  <c r="K144" i="1"/>
  <c r="W144" i="1" s="1"/>
  <c r="L144" i="1"/>
  <c r="M144" i="1"/>
  <c r="N144" i="1"/>
  <c r="O144" i="1"/>
  <c r="Q144" i="1"/>
  <c r="R144" i="1"/>
  <c r="Y144" i="1" s="1"/>
  <c r="AF144" i="1" s="1"/>
  <c r="S144" i="1"/>
  <c r="V144" i="1"/>
  <c r="X144" i="1"/>
  <c r="AB144" i="1"/>
  <c r="AJ144" i="1"/>
  <c r="AN144" i="1"/>
  <c r="AR144" i="1"/>
  <c r="AZ144" i="1"/>
  <c r="BD144" i="1"/>
  <c r="BH144" i="1"/>
  <c r="BP144" i="1"/>
  <c r="BT144" i="1"/>
  <c r="BX144" i="1"/>
  <c r="A145" i="1"/>
  <c r="B145" i="1"/>
  <c r="C145" i="1"/>
  <c r="D145" i="1"/>
  <c r="E145" i="1"/>
  <c r="F145" i="1"/>
  <c r="G145" i="1"/>
  <c r="H145" i="1"/>
  <c r="I145" i="1"/>
  <c r="J145" i="1"/>
  <c r="T145" i="1" s="1"/>
  <c r="K145" i="1"/>
  <c r="L145" i="1"/>
  <c r="M145" i="1"/>
  <c r="N145" i="1"/>
  <c r="O145" i="1"/>
  <c r="Q145" i="1"/>
  <c r="R145" i="1"/>
  <c r="Y145" i="1" s="1"/>
  <c r="S145" i="1"/>
  <c r="V145" i="1"/>
  <c r="W145" i="1"/>
  <c r="AE145" i="1" s="1"/>
  <c r="X145" i="1"/>
  <c r="BS145" i="1"/>
  <c r="BW145" i="1"/>
  <c r="CA145" i="1"/>
  <c r="A146" i="1"/>
  <c r="B146" i="1"/>
  <c r="C146" i="1"/>
  <c r="D146" i="1"/>
  <c r="E146" i="1"/>
  <c r="F146" i="1"/>
  <c r="G146" i="1"/>
  <c r="H146" i="1"/>
  <c r="I146" i="1"/>
  <c r="J146" i="1"/>
  <c r="T146" i="1" s="1"/>
  <c r="K146" i="1"/>
  <c r="L146" i="1"/>
  <c r="M146" i="1"/>
  <c r="N146" i="1"/>
  <c r="O146" i="1"/>
  <c r="Q146" i="1"/>
  <c r="R146" i="1"/>
  <c r="Y146" i="1" s="1"/>
  <c r="S146" i="1"/>
  <c r="V146" i="1"/>
  <c r="W146" i="1"/>
  <c r="AA146" i="1" s="1"/>
  <c r="X146" i="1"/>
  <c r="A147" i="1"/>
  <c r="B147" i="1"/>
  <c r="C147" i="1"/>
  <c r="D147" i="1"/>
  <c r="E147" i="1"/>
  <c r="F147" i="1"/>
  <c r="G147" i="1"/>
  <c r="H147" i="1"/>
  <c r="I147" i="1"/>
  <c r="U147" i="1" s="1"/>
  <c r="J147" i="1"/>
  <c r="T147" i="1" s="1"/>
  <c r="K147" i="1"/>
  <c r="L147" i="1"/>
  <c r="M147" i="1"/>
  <c r="N147" i="1"/>
  <c r="O147" i="1"/>
  <c r="Q147" i="1"/>
  <c r="R147" i="1"/>
  <c r="Y147" i="1" s="1"/>
  <c r="S147" i="1"/>
  <c r="V147" i="1"/>
  <c r="W147" i="1"/>
  <c r="AE147" i="1" s="1"/>
  <c r="X147" i="1"/>
  <c r="BC147" i="1"/>
  <c r="BG147" i="1"/>
  <c r="BK147" i="1"/>
  <c r="BO147" i="1"/>
  <c r="BS147" i="1"/>
  <c r="BW147" i="1"/>
  <c r="CA147" i="1"/>
  <c r="A148" i="1"/>
  <c r="B148" i="1"/>
  <c r="C148" i="1"/>
  <c r="D148" i="1"/>
  <c r="E148" i="1"/>
  <c r="F148" i="1"/>
  <c r="G148" i="1"/>
  <c r="H148" i="1"/>
  <c r="I148" i="1"/>
  <c r="U148" i="1" s="1"/>
  <c r="J148" i="1"/>
  <c r="T148" i="1" s="1"/>
  <c r="K148" i="1"/>
  <c r="L148" i="1"/>
  <c r="M148" i="1"/>
  <c r="N148" i="1"/>
  <c r="O148" i="1"/>
  <c r="Q148" i="1"/>
  <c r="R148" i="1"/>
  <c r="Y148" i="1" s="1"/>
  <c r="S148" i="1"/>
  <c r="V148" i="1"/>
  <c r="W148" i="1"/>
  <c r="AE148" i="1" s="1"/>
  <c r="X148" i="1"/>
  <c r="AY148" i="1"/>
  <c r="BC148" i="1"/>
  <c r="BG148" i="1"/>
  <c r="BK148" i="1"/>
  <c r="BO148" i="1"/>
  <c r="BS148" i="1"/>
  <c r="BW148" i="1"/>
  <c r="CA148" i="1"/>
  <c r="A149" i="1"/>
  <c r="B149" i="1"/>
  <c r="C149" i="1"/>
  <c r="D149" i="1"/>
  <c r="E149" i="1"/>
  <c r="F149" i="1"/>
  <c r="G149" i="1"/>
  <c r="H149" i="1"/>
  <c r="I149" i="1"/>
  <c r="J149" i="1"/>
  <c r="T149" i="1" s="1"/>
  <c r="K149" i="1"/>
  <c r="L149" i="1"/>
  <c r="M149" i="1"/>
  <c r="N149" i="1"/>
  <c r="O149" i="1"/>
  <c r="Q149" i="1"/>
  <c r="R149" i="1"/>
  <c r="Y149" i="1" s="1"/>
  <c r="S149" i="1"/>
  <c r="V149" i="1"/>
  <c r="W149" i="1"/>
  <c r="AE149" i="1" s="1"/>
  <c r="X149" i="1"/>
  <c r="BG149" i="1"/>
  <c r="BK149" i="1"/>
  <c r="BO149" i="1"/>
  <c r="BS149" i="1"/>
  <c r="BW149" i="1"/>
  <c r="CA149" i="1"/>
  <c r="A150" i="1"/>
  <c r="B150" i="1"/>
  <c r="C150" i="1"/>
  <c r="D150" i="1"/>
  <c r="E150" i="1"/>
  <c r="F150" i="1"/>
  <c r="G150" i="1"/>
  <c r="H150" i="1"/>
  <c r="I150" i="1"/>
  <c r="U150" i="1" s="1"/>
  <c r="J150" i="1"/>
  <c r="T150" i="1" s="1"/>
  <c r="K150" i="1"/>
  <c r="L150" i="1"/>
  <c r="M150" i="1"/>
  <c r="N150" i="1"/>
  <c r="O150" i="1"/>
  <c r="Q150" i="1"/>
  <c r="R150" i="1"/>
  <c r="Y150" i="1" s="1"/>
  <c r="S150" i="1"/>
  <c r="V150" i="1"/>
  <c r="W150" i="1"/>
  <c r="AE150" i="1" s="1"/>
  <c r="X150" i="1"/>
  <c r="AQ150" i="1"/>
  <c r="AU150" i="1"/>
  <c r="AY150" i="1"/>
  <c r="BC150" i="1"/>
  <c r="BG150" i="1"/>
  <c r="BK150" i="1"/>
  <c r="BO150" i="1"/>
  <c r="BS150" i="1"/>
  <c r="BW150" i="1"/>
  <c r="CA150" i="1"/>
  <c r="A151" i="1"/>
  <c r="B151" i="1"/>
  <c r="C151" i="1"/>
  <c r="D151" i="1"/>
  <c r="E151" i="1"/>
  <c r="F151" i="1"/>
  <c r="G151" i="1"/>
  <c r="H151" i="1"/>
  <c r="I151" i="1"/>
  <c r="J151" i="1"/>
  <c r="T151" i="1" s="1"/>
  <c r="K151" i="1"/>
  <c r="L151" i="1"/>
  <c r="M151" i="1"/>
  <c r="N151" i="1"/>
  <c r="O151" i="1"/>
  <c r="Q151" i="1"/>
  <c r="R151" i="1"/>
  <c r="Y151" i="1" s="1"/>
  <c r="S151" i="1"/>
  <c r="V151" i="1"/>
  <c r="W151" i="1"/>
  <c r="AE151" i="1" s="1"/>
  <c r="X151" i="1"/>
  <c r="AY151" i="1"/>
  <c r="BC151" i="1"/>
  <c r="BG151" i="1"/>
  <c r="BK151" i="1"/>
  <c r="BO151" i="1"/>
  <c r="BS151" i="1"/>
  <c r="BW151" i="1"/>
  <c r="CA151" i="1"/>
  <c r="A152" i="1"/>
  <c r="B152" i="1"/>
  <c r="C152" i="1"/>
  <c r="D152" i="1"/>
  <c r="E152" i="1"/>
  <c r="F152" i="1"/>
  <c r="G152" i="1"/>
  <c r="H152" i="1"/>
  <c r="I152" i="1"/>
  <c r="U152" i="1" s="1"/>
  <c r="J152" i="1"/>
  <c r="T152" i="1" s="1"/>
  <c r="K152" i="1"/>
  <c r="L152" i="1"/>
  <c r="M152" i="1"/>
  <c r="N152" i="1"/>
  <c r="O152" i="1"/>
  <c r="Q152" i="1"/>
  <c r="R152" i="1"/>
  <c r="Y152" i="1" s="1"/>
  <c r="S152" i="1"/>
  <c r="V152" i="1"/>
  <c r="W152" i="1"/>
  <c r="AE152" i="1" s="1"/>
  <c r="X152" i="1"/>
  <c r="BK152" i="1"/>
  <c r="BO152" i="1"/>
  <c r="BS152" i="1"/>
  <c r="BW152" i="1"/>
  <c r="CA152" i="1"/>
  <c r="A153" i="1"/>
  <c r="B153" i="1"/>
  <c r="C153" i="1"/>
  <c r="D153" i="1"/>
  <c r="E153" i="1"/>
  <c r="F153" i="1"/>
  <c r="G153" i="1"/>
  <c r="H153" i="1"/>
  <c r="I153" i="1"/>
  <c r="U153" i="1" s="1"/>
  <c r="J153" i="1"/>
  <c r="T153" i="1" s="1"/>
  <c r="K153" i="1"/>
  <c r="L153" i="1"/>
  <c r="M153" i="1"/>
  <c r="N153" i="1"/>
  <c r="O153" i="1"/>
  <c r="Q153" i="1"/>
  <c r="R153" i="1"/>
  <c r="Y153" i="1" s="1"/>
  <c r="S153" i="1"/>
  <c r="V153" i="1"/>
  <c r="W153" i="1"/>
  <c r="AI153" i="1" s="1"/>
  <c r="X153" i="1"/>
  <c r="AY153" i="1"/>
  <c r="BC153" i="1"/>
  <c r="BG153" i="1"/>
  <c r="BK153" i="1"/>
  <c r="BO153" i="1"/>
  <c r="BS153" i="1"/>
  <c r="BW153" i="1"/>
  <c r="CA153" i="1"/>
  <c r="A154" i="1"/>
  <c r="B154" i="1"/>
  <c r="C154" i="1"/>
  <c r="D154" i="1"/>
  <c r="E154" i="1"/>
  <c r="F154" i="1"/>
  <c r="G154" i="1"/>
  <c r="H154" i="1"/>
  <c r="I154" i="1"/>
  <c r="J154" i="1"/>
  <c r="T154" i="1" s="1"/>
  <c r="K154" i="1"/>
  <c r="L154" i="1"/>
  <c r="M154" i="1"/>
  <c r="R154" i="1" s="1"/>
  <c r="Y154" i="1" s="1"/>
  <c r="N154" i="1"/>
  <c r="O154" i="1"/>
  <c r="Q154" i="1"/>
  <c r="S154" i="1"/>
  <c r="V154" i="1"/>
  <c r="W154" i="1"/>
  <c r="AA154" i="1" s="1"/>
  <c r="X154" i="1"/>
  <c r="BK154" i="1"/>
  <c r="BO154" i="1"/>
  <c r="BS154" i="1"/>
  <c r="BW154" i="1"/>
  <c r="CA154" i="1"/>
  <c r="A155" i="1"/>
  <c r="B155" i="1"/>
  <c r="C155" i="1"/>
  <c r="D155" i="1"/>
  <c r="E155" i="1"/>
  <c r="F155" i="1"/>
  <c r="G155" i="1"/>
  <c r="H155" i="1"/>
  <c r="I155" i="1"/>
  <c r="U155" i="1" s="1"/>
  <c r="J155" i="1"/>
  <c r="T155" i="1" s="1"/>
  <c r="K155" i="1"/>
  <c r="L155" i="1"/>
  <c r="M155" i="1"/>
  <c r="N155" i="1"/>
  <c r="O155" i="1"/>
  <c r="Q155" i="1"/>
  <c r="R155" i="1"/>
  <c r="Y155" i="1" s="1"/>
  <c r="S155" i="1"/>
  <c r="V155" i="1"/>
  <c r="W155" i="1"/>
  <c r="AA155" i="1" s="1"/>
  <c r="X155" i="1"/>
  <c r="AQ155" i="1"/>
  <c r="AU155" i="1"/>
  <c r="AY155" i="1"/>
  <c r="BC155" i="1"/>
  <c r="BG155" i="1"/>
  <c r="BK155" i="1"/>
  <c r="BO155" i="1"/>
  <c r="BS155" i="1"/>
  <c r="BW155" i="1"/>
  <c r="CA155" i="1"/>
  <c r="A156" i="1"/>
  <c r="B156" i="1"/>
  <c r="C156" i="1"/>
  <c r="D156" i="1"/>
  <c r="E156" i="1"/>
  <c r="F156" i="1"/>
  <c r="G156" i="1"/>
  <c r="H156" i="1"/>
  <c r="I156" i="1"/>
  <c r="J156" i="1"/>
  <c r="T156" i="1" s="1"/>
  <c r="K156" i="1"/>
  <c r="L156" i="1"/>
  <c r="M156" i="1"/>
  <c r="N156" i="1"/>
  <c r="O156" i="1"/>
  <c r="Q156" i="1"/>
  <c r="R156" i="1"/>
  <c r="Y156" i="1" s="1"/>
  <c r="S156" i="1"/>
  <c r="V156" i="1"/>
  <c r="W156" i="1"/>
  <c r="AA156" i="1" s="1"/>
  <c r="X156" i="1"/>
  <c r="AY156" i="1"/>
  <c r="BC156" i="1"/>
  <c r="BG156" i="1"/>
  <c r="BK156" i="1"/>
  <c r="BO156" i="1"/>
  <c r="BS156" i="1"/>
  <c r="BW156" i="1"/>
  <c r="CA156" i="1"/>
  <c r="A157" i="1"/>
  <c r="B157" i="1"/>
  <c r="C157" i="1"/>
  <c r="D157" i="1"/>
  <c r="E157" i="1"/>
  <c r="F157" i="1"/>
  <c r="G157" i="1"/>
  <c r="H157" i="1"/>
  <c r="I157" i="1"/>
  <c r="U157" i="1" s="1"/>
  <c r="J157" i="1"/>
  <c r="T157" i="1" s="1"/>
  <c r="K157" i="1"/>
  <c r="L157" i="1"/>
  <c r="M157" i="1"/>
  <c r="R157" i="1" s="1"/>
  <c r="Y157" i="1" s="1"/>
  <c r="N157" i="1"/>
  <c r="O157" i="1"/>
  <c r="Q157" i="1"/>
  <c r="S157" i="1"/>
  <c r="V157" i="1"/>
  <c r="W157" i="1"/>
  <c r="AA157" i="1" s="1"/>
  <c r="X157" i="1"/>
  <c r="AU157" i="1"/>
  <c r="AY157" i="1"/>
  <c r="BC157" i="1"/>
  <c r="BG157" i="1"/>
  <c r="BK157" i="1"/>
  <c r="BO157" i="1"/>
  <c r="BS157" i="1"/>
  <c r="BW157" i="1"/>
  <c r="CA157" i="1"/>
  <c r="A158" i="1"/>
  <c r="B158" i="1"/>
  <c r="C158" i="1"/>
  <c r="D158" i="1"/>
  <c r="E158" i="1"/>
  <c r="F158" i="1"/>
  <c r="G158" i="1"/>
  <c r="H158" i="1"/>
  <c r="I158" i="1"/>
  <c r="J158" i="1"/>
  <c r="T158" i="1" s="1"/>
  <c r="K158" i="1"/>
  <c r="L158" i="1"/>
  <c r="M158" i="1"/>
  <c r="R158" i="1" s="1"/>
  <c r="Y158" i="1" s="1"/>
  <c r="N158" i="1"/>
  <c r="O158" i="1"/>
  <c r="Q158" i="1"/>
  <c r="S158" i="1"/>
  <c r="V158" i="1"/>
  <c r="W158" i="1"/>
  <c r="AE158" i="1" s="1"/>
  <c r="X158" i="1"/>
  <c r="AY158" i="1"/>
  <c r="BC158" i="1"/>
  <c r="BG158" i="1"/>
  <c r="BK158" i="1"/>
  <c r="BO158" i="1"/>
  <c r="BS158" i="1"/>
  <c r="BW158" i="1"/>
  <c r="CA158" i="1"/>
  <c r="A159" i="1"/>
  <c r="B159" i="1"/>
  <c r="C159" i="1"/>
  <c r="D159" i="1"/>
  <c r="E159" i="1"/>
  <c r="F159" i="1"/>
  <c r="G159" i="1"/>
  <c r="H159" i="1"/>
  <c r="I159" i="1"/>
  <c r="J159" i="1"/>
  <c r="T159" i="1" s="1"/>
  <c r="K159" i="1"/>
  <c r="L159" i="1"/>
  <c r="M159" i="1"/>
  <c r="N159" i="1"/>
  <c r="O159" i="1"/>
  <c r="Q159" i="1"/>
  <c r="R159" i="1"/>
  <c r="Y159" i="1" s="1"/>
  <c r="S159" i="1"/>
  <c r="V159" i="1"/>
  <c r="W159" i="1"/>
  <c r="AE159" i="1" s="1"/>
  <c r="X159" i="1"/>
  <c r="AQ159" i="1"/>
  <c r="AU159" i="1"/>
  <c r="AY159" i="1"/>
  <c r="BC159" i="1"/>
  <c r="BG159" i="1"/>
  <c r="BK159" i="1"/>
  <c r="BO159" i="1"/>
  <c r="BS159" i="1"/>
  <c r="BW159" i="1"/>
  <c r="CA159" i="1"/>
  <c r="A160" i="1"/>
  <c r="B160" i="1"/>
  <c r="C160" i="1"/>
  <c r="D160" i="1"/>
  <c r="E160" i="1"/>
  <c r="F160" i="1"/>
  <c r="G160" i="1"/>
  <c r="H160" i="1"/>
  <c r="I160" i="1"/>
  <c r="U160" i="1" s="1"/>
  <c r="J160" i="1"/>
  <c r="T160" i="1" s="1"/>
  <c r="K160" i="1"/>
  <c r="L160" i="1"/>
  <c r="M160" i="1"/>
  <c r="R160" i="1" s="1"/>
  <c r="Y160" i="1" s="1"/>
  <c r="N160" i="1"/>
  <c r="O160" i="1"/>
  <c r="Q160" i="1"/>
  <c r="S160" i="1"/>
  <c r="V160" i="1"/>
  <c r="W160" i="1"/>
  <c r="AA160" i="1" s="1"/>
  <c r="X160" i="1"/>
  <c r="BC160" i="1"/>
  <c r="BG160" i="1"/>
  <c r="BK160" i="1"/>
  <c r="BO160" i="1"/>
  <c r="BS160" i="1"/>
  <c r="BW160" i="1"/>
  <c r="CA160" i="1"/>
  <c r="A161" i="1"/>
  <c r="B161" i="1"/>
  <c r="C161" i="1"/>
  <c r="D161" i="1"/>
  <c r="E161" i="1"/>
  <c r="F161" i="1"/>
  <c r="G161" i="1"/>
  <c r="H161" i="1"/>
  <c r="I161" i="1"/>
  <c r="J161" i="1"/>
  <c r="T161" i="1" s="1"/>
  <c r="K161" i="1"/>
  <c r="L161" i="1"/>
  <c r="M161" i="1"/>
  <c r="N161" i="1"/>
  <c r="O161" i="1"/>
  <c r="Q161" i="1"/>
  <c r="R161" i="1"/>
  <c r="Y161" i="1" s="1"/>
  <c r="S161" i="1"/>
  <c r="V161" i="1"/>
  <c r="W161" i="1"/>
  <c r="AA161" i="1" s="1"/>
  <c r="X161" i="1"/>
  <c r="AY161" i="1"/>
  <c r="BC161" i="1"/>
  <c r="BG161" i="1"/>
  <c r="BK161" i="1"/>
  <c r="BO161" i="1"/>
  <c r="BS161" i="1"/>
  <c r="BW161" i="1"/>
  <c r="CA161" i="1"/>
  <c r="A162" i="1"/>
  <c r="B162" i="1"/>
  <c r="C162" i="1"/>
  <c r="D162" i="1"/>
  <c r="E162" i="1"/>
  <c r="F162" i="1"/>
  <c r="G162" i="1"/>
  <c r="H162" i="1"/>
  <c r="I162" i="1"/>
  <c r="U162" i="1" s="1"/>
  <c r="J162" i="1"/>
  <c r="T162" i="1" s="1"/>
  <c r="K162" i="1"/>
  <c r="L162" i="1"/>
  <c r="M162" i="1"/>
  <c r="R162" i="1" s="1"/>
  <c r="Y162" i="1" s="1"/>
  <c r="N162" i="1"/>
  <c r="O162" i="1"/>
  <c r="Q162" i="1"/>
  <c r="S162" i="1"/>
  <c r="V162" i="1"/>
  <c r="W162" i="1"/>
  <c r="AE162" i="1" s="1"/>
  <c r="X162" i="1"/>
  <c r="AY162" i="1"/>
  <c r="BC162" i="1"/>
  <c r="BG162" i="1"/>
  <c r="BK162" i="1"/>
  <c r="BO162" i="1"/>
  <c r="BS162" i="1"/>
  <c r="BW162" i="1"/>
  <c r="CA162" i="1"/>
  <c r="A163" i="1"/>
  <c r="B163" i="1"/>
  <c r="C163" i="1"/>
  <c r="D163" i="1"/>
  <c r="E163" i="1"/>
  <c r="F163" i="1"/>
  <c r="G163" i="1"/>
  <c r="H163" i="1"/>
  <c r="I163" i="1"/>
  <c r="U163" i="1" s="1"/>
  <c r="J163" i="1"/>
  <c r="T163" i="1" s="1"/>
  <c r="K163" i="1"/>
  <c r="L163" i="1"/>
  <c r="M163" i="1"/>
  <c r="R163" i="1" s="1"/>
  <c r="Y163" i="1" s="1"/>
  <c r="N163" i="1"/>
  <c r="O163" i="1"/>
  <c r="Q163" i="1"/>
  <c r="S163" i="1"/>
  <c r="V163" i="1"/>
  <c r="W163" i="1"/>
  <c r="AE163" i="1" s="1"/>
  <c r="X163" i="1"/>
  <c r="BC163" i="1"/>
  <c r="BG163" i="1"/>
  <c r="BK163" i="1"/>
  <c r="BO163" i="1"/>
  <c r="BS163" i="1"/>
  <c r="BW163" i="1"/>
  <c r="CA163" i="1"/>
  <c r="A164" i="1"/>
  <c r="B164" i="1"/>
  <c r="C164" i="1"/>
  <c r="D164" i="1"/>
  <c r="E164" i="1"/>
  <c r="F164" i="1"/>
  <c r="G164" i="1"/>
  <c r="H164" i="1"/>
  <c r="I164" i="1"/>
  <c r="J164" i="1"/>
  <c r="T164" i="1" s="1"/>
  <c r="K164" i="1"/>
  <c r="L164" i="1"/>
  <c r="M164" i="1"/>
  <c r="R164" i="1" s="1"/>
  <c r="Y164" i="1" s="1"/>
  <c r="N164" i="1"/>
  <c r="O164" i="1"/>
  <c r="Q164" i="1"/>
  <c r="S164" i="1"/>
  <c r="V164" i="1"/>
  <c r="W164" i="1"/>
  <c r="AE164" i="1" s="1"/>
  <c r="X164" i="1"/>
  <c r="BC164" i="1"/>
  <c r="BG164" i="1"/>
  <c r="BK164" i="1"/>
  <c r="BO164" i="1"/>
  <c r="BS164" i="1"/>
  <c r="BW164" i="1"/>
  <c r="CA164" i="1"/>
  <c r="A165" i="1"/>
  <c r="B165" i="1"/>
  <c r="C165" i="1"/>
  <c r="D165" i="1"/>
  <c r="E165" i="1"/>
  <c r="F165" i="1"/>
  <c r="G165" i="1"/>
  <c r="H165" i="1"/>
  <c r="I165" i="1"/>
  <c r="U165" i="1" s="1"/>
  <c r="J165" i="1"/>
  <c r="T165" i="1" s="1"/>
  <c r="K165" i="1"/>
  <c r="L165" i="1"/>
  <c r="M165" i="1"/>
  <c r="R165" i="1" s="1"/>
  <c r="Y165" i="1" s="1"/>
  <c r="N165" i="1"/>
  <c r="O165" i="1"/>
  <c r="Q165" i="1"/>
  <c r="S165" i="1"/>
  <c r="V165" i="1"/>
  <c r="W165" i="1"/>
  <c r="AI165" i="1" s="1"/>
  <c r="X165" i="1"/>
  <c r="BC165" i="1"/>
  <c r="BG165" i="1"/>
  <c r="BK165" i="1"/>
  <c r="BO165" i="1"/>
  <c r="BS165" i="1"/>
  <c r="BW165" i="1"/>
  <c r="CA165" i="1"/>
  <c r="A166" i="1"/>
  <c r="B166" i="1"/>
  <c r="C166" i="1"/>
  <c r="D166" i="1"/>
  <c r="E166" i="1"/>
  <c r="F166" i="1"/>
  <c r="G166" i="1"/>
  <c r="H166" i="1"/>
  <c r="I166" i="1"/>
  <c r="J166" i="1"/>
  <c r="T166" i="1" s="1"/>
  <c r="K166" i="1"/>
  <c r="L166" i="1"/>
  <c r="M166" i="1"/>
  <c r="R166" i="1" s="1"/>
  <c r="Y166" i="1" s="1"/>
  <c r="N166" i="1"/>
  <c r="O166" i="1"/>
  <c r="Q166" i="1"/>
  <c r="S166" i="1"/>
  <c r="V166" i="1"/>
  <c r="W166" i="1"/>
  <c r="AA166" i="1" s="1"/>
  <c r="X166" i="1"/>
  <c r="BC166" i="1"/>
  <c r="BG166" i="1"/>
  <c r="BK166" i="1"/>
  <c r="BO166" i="1"/>
  <c r="BS166" i="1"/>
  <c r="BW166" i="1"/>
  <c r="CA166" i="1"/>
  <c r="A167" i="1"/>
  <c r="B167" i="1"/>
  <c r="C167" i="1"/>
  <c r="D167" i="1"/>
  <c r="E167" i="1"/>
  <c r="F167" i="1"/>
  <c r="G167" i="1"/>
  <c r="H167" i="1"/>
  <c r="I167" i="1"/>
  <c r="U167" i="1" s="1"/>
  <c r="J167" i="1"/>
  <c r="T167" i="1" s="1"/>
  <c r="K167" i="1"/>
  <c r="L167" i="1"/>
  <c r="M167" i="1"/>
  <c r="R167" i="1" s="1"/>
  <c r="Y167" i="1" s="1"/>
  <c r="N167" i="1"/>
  <c r="O167" i="1"/>
  <c r="Q167" i="1"/>
  <c r="S167" i="1"/>
  <c r="V167" i="1"/>
  <c r="W167" i="1"/>
  <c r="AE167" i="1" s="1"/>
  <c r="X167" i="1"/>
  <c r="AY167" i="1"/>
  <c r="BC167" i="1"/>
  <c r="BG167" i="1"/>
  <c r="BK167" i="1"/>
  <c r="BO167" i="1"/>
  <c r="BS167" i="1"/>
  <c r="BW167" i="1"/>
  <c r="CA167" i="1"/>
  <c r="A168" i="1"/>
  <c r="B168" i="1"/>
  <c r="C168" i="1"/>
  <c r="D168" i="1"/>
  <c r="E168" i="1"/>
  <c r="F168" i="1"/>
  <c r="G168" i="1"/>
  <c r="H168" i="1"/>
  <c r="I168" i="1"/>
  <c r="U168" i="1" s="1"/>
  <c r="J168" i="1"/>
  <c r="T168" i="1" s="1"/>
  <c r="K168" i="1"/>
  <c r="L168" i="1"/>
  <c r="M168" i="1"/>
  <c r="N168" i="1"/>
  <c r="O168" i="1"/>
  <c r="Q168" i="1"/>
  <c r="R168" i="1"/>
  <c r="Y168" i="1" s="1"/>
  <c r="S168" i="1"/>
  <c r="V168" i="1"/>
  <c r="W168" i="1"/>
  <c r="AA168" i="1" s="1"/>
  <c r="X168" i="1"/>
  <c r="AU168" i="1"/>
  <c r="AY168" i="1"/>
  <c r="BC168" i="1"/>
  <c r="BG168" i="1"/>
  <c r="BK168" i="1"/>
  <c r="BO168" i="1"/>
  <c r="BS168" i="1"/>
  <c r="BW168" i="1"/>
  <c r="CA168" i="1"/>
  <c r="A169" i="1"/>
  <c r="B169" i="1"/>
  <c r="C169" i="1"/>
  <c r="D169" i="1"/>
  <c r="E169" i="1"/>
  <c r="F169" i="1"/>
  <c r="G169" i="1"/>
  <c r="H169" i="1"/>
  <c r="I169" i="1"/>
  <c r="U169" i="1" s="1"/>
  <c r="J169" i="1"/>
  <c r="T169" i="1" s="1"/>
  <c r="K169" i="1"/>
  <c r="L169" i="1"/>
  <c r="M169" i="1"/>
  <c r="R169" i="1" s="1"/>
  <c r="Y169" i="1" s="1"/>
  <c r="N169" i="1"/>
  <c r="O169" i="1"/>
  <c r="Q169" i="1"/>
  <c r="S169" i="1"/>
  <c r="V169" i="1"/>
  <c r="W169" i="1"/>
  <c r="AA169" i="1" s="1"/>
  <c r="X169" i="1"/>
  <c r="BO169" i="1"/>
  <c r="BS169" i="1"/>
  <c r="BW169" i="1"/>
  <c r="CA169" i="1"/>
  <c r="A170" i="1"/>
  <c r="B170" i="1"/>
  <c r="C170" i="1"/>
  <c r="D170" i="1"/>
  <c r="E170" i="1"/>
  <c r="F170" i="1"/>
  <c r="G170" i="1"/>
  <c r="H170" i="1"/>
  <c r="I170" i="1"/>
  <c r="U170" i="1" s="1"/>
  <c r="J170" i="1"/>
  <c r="T170" i="1" s="1"/>
  <c r="K170" i="1"/>
  <c r="L170" i="1"/>
  <c r="M170" i="1"/>
  <c r="R170" i="1" s="1"/>
  <c r="Y170" i="1" s="1"/>
  <c r="N170" i="1"/>
  <c r="O170" i="1"/>
  <c r="Q170" i="1"/>
  <c r="S170" i="1"/>
  <c r="V170" i="1"/>
  <c r="W170" i="1"/>
  <c r="AE170" i="1" s="1"/>
  <c r="X170" i="1"/>
  <c r="AY170" i="1"/>
  <c r="BC170" i="1"/>
  <c r="BG170" i="1"/>
  <c r="BK170" i="1"/>
  <c r="BO170" i="1"/>
  <c r="BS170" i="1"/>
  <c r="BW170" i="1"/>
  <c r="CA170" i="1"/>
  <c r="A171" i="1"/>
  <c r="B171" i="1"/>
  <c r="C171" i="1"/>
  <c r="D171" i="1"/>
  <c r="E171" i="1"/>
  <c r="F171" i="1"/>
  <c r="G171" i="1"/>
  <c r="H171" i="1"/>
  <c r="I171" i="1"/>
  <c r="U171" i="1" s="1"/>
  <c r="J171" i="1"/>
  <c r="T171" i="1" s="1"/>
  <c r="K171" i="1"/>
  <c r="L171" i="1"/>
  <c r="M171" i="1"/>
  <c r="N171" i="1"/>
  <c r="O171" i="1"/>
  <c r="Q171" i="1"/>
  <c r="R171" i="1"/>
  <c r="Y171" i="1" s="1"/>
  <c r="S171" i="1"/>
  <c r="V171" i="1"/>
  <c r="W171" i="1"/>
  <c r="AA171" i="1" s="1"/>
  <c r="X171" i="1"/>
  <c r="BG171" i="1"/>
  <c r="BK171" i="1"/>
  <c r="BO171" i="1"/>
  <c r="BS171" i="1"/>
  <c r="BW171" i="1"/>
  <c r="CA171" i="1"/>
  <c r="A172" i="1"/>
  <c r="B172" i="1"/>
  <c r="C172" i="1"/>
  <c r="D172" i="1"/>
  <c r="E172" i="1"/>
  <c r="F172" i="1"/>
  <c r="G172" i="1"/>
  <c r="H172" i="1"/>
  <c r="I172" i="1"/>
  <c r="J172" i="1"/>
  <c r="T172" i="1" s="1"/>
  <c r="K172" i="1"/>
  <c r="L172" i="1"/>
  <c r="M172" i="1"/>
  <c r="R172" i="1" s="1"/>
  <c r="Y172" i="1" s="1"/>
  <c r="N172" i="1"/>
  <c r="O172" i="1"/>
  <c r="Q172" i="1"/>
  <c r="S172" i="1"/>
  <c r="V172" i="1"/>
  <c r="W172" i="1"/>
  <c r="AE172" i="1" s="1"/>
  <c r="X172" i="1"/>
  <c r="BG172" i="1"/>
  <c r="BK172" i="1"/>
  <c r="BO172" i="1"/>
  <c r="BS172" i="1"/>
  <c r="BW172" i="1"/>
  <c r="CA172" i="1"/>
  <c r="A173" i="1"/>
  <c r="B173" i="1"/>
  <c r="C173" i="1"/>
  <c r="D173" i="1"/>
  <c r="E173" i="1"/>
  <c r="F173" i="1"/>
  <c r="G173" i="1"/>
  <c r="H173" i="1"/>
  <c r="I173" i="1"/>
  <c r="J173" i="1"/>
  <c r="T173" i="1" s="1"/>
  <c r="K173" i="1"/>
  <c r="L173" i="1"/>
  <c r="M173" i="1"/>
  <c r="R173" i="1" s="1"/>
  <c r="Y173" i="1" s="1"/>
  <c r="N173" i="1"/>
  <c r="O173" i="1"/>
  <c r="Q173" i="1"/>
  <c r="S173" i="1"/>
  <c r="V173" i="1"/>
  <c r="W173" i="1"/>
  <c r="AE173" i="1" s="1"/>
  <c r="X173" i="1"/>
  <c r="BC173" i="1"/>
  <c r="BG173" i="1"/>
  <c r="BK173" i="1"/>
  <c r="BO173" i="1"/>
  <c r="BS173" i="1"/>
  <c r="BW173" i="1"/>
  <c r="CA173" i="1"/>
  <c r="AB148" i="1" l="1"/>
  <c r="AF148" i="1"/>
  <c r="AJ148" i="1"/>
  <c r="AN148" i="1"/>
  <c r="AR148" i="1"/>
  <c r="AV148" i="1"/>
  <c r="AZ148" i="1"/>
  <c r="BD148" i="1"/>
  <c r="BH148" i="1"/>
  <c r="BL148" i="1"/>
  <c r="BP148" i="1"/>
  <c r="BT148" i="1"/>
  <c r="BX148" i="1"/>
  <c r="CB148" i="1"/>
  <c r="AB173" i="1"/>
  <c r="AF173" i="1"/>
  <c r="AJ173" i="1"/>
  <c r="AN173" i="1"/>
  <c r="AR173" i="1"/>
  <c r="AV173" i="1"/>
  <c r="AZ173" i="1"/>
  <c r="BD173" i="1"/>
  <c r="BH173" i="1"/>
  <c r="BL173" i="1"/>
  <c r="BP173" i="1"/>
  <c r="BT173" i="1"/>
  <c r="BX173" i="1"/>
  <c r="CB173" i="1"/>
  <c r="U173" i="1"/>
  <c r="AB164" i="1"/>
  <c r="AF164" i="1"/>
  <c r="AJ164" i="1"/>
  <c r="AN164" i="1"/>
  <c r="AR164" i="1"/>
  <c r="AV164" i="1"/>
  <c r="AZ164" i="1"/>
  <c r="BD164" i="1"/>
  <c r="BH164" i="1"/>
  <c r="BL164" i="1"/>
  <c r="BP164" i="1"/>
  <c r="BT164" i="1"/>
  <c r="BX164" i="1"/>
  <c r="CB164" i="1"/>
  <c r="U164" i="1"/>
  <c r="AB161" i="1"/>
  <c r="AF161" i="1"/>
  <c r="AJ161" i="1"/>
  <c r="AN161" i="1"/>
  <c r="AR161" i="1"/>
  <c r="AV161" i="1"/>
  <c r="AZ161" i="1"/>
  <c r="BD161" i="1"/>
  <c r="BH161" i="1"/>
  <c r="BL161" i="1"/>
  <c r="BP161" i="1"/>
  <c r="BT161" i="1"/>
  <c r="BX161" i="1"/>
  <c r="CB161" i="1"/>
  <c r="U161" i="1"/>
  <c r="AB156" i="1"/>
  <c r="AF156" i="1"/>
  <c r="AJ156" i="1"/>
  <c r="AN156" i="1"/>
  <c r="AR156" i="1"/>
  <c r="AV156" i="1"/>
  <c r="AZ156" i="1"/>
  <c r="BD156" i="1"/>
  <c r="BH156" i="1"/>
  <c r="BL156" i="1"/>
  <c r="BP156" i="1"/>
  <c r="BT156" i="1"/>
  <c r="BX156" i="1"/>
  <c r="CB156" i="1"/>
  <c r="U156" i="1"/>
  <c r="AB154" i="1"/>
  <c r="AF154" i="1"/>
  <c r="AJ154" i="1"/>
  <c r="AN154" i="1"/>
  <c r="AR154" i="1"/>
  <c r="AV154" i="1"/>
  <c r="AZ154" i="1"/>
  <c r="BD154" i="1"/>
  <c r="BH154" i="1"/>
  <c r="BL154" i="1"/>
  <c r="BP154" i="1"/>
  <c r="BT154" i="1"/>
  <c r="BX154" i="1"/>
  <c r="CB154" i="1"/>
  <c r="U154" i="1"/>
  <c r="AB151" i="1"/>
  <c r="AF151" i="1"/>
  <c r="AJ151" i="1"/>
  <c r="AN151" i="1"/>
  <c r="AR151" i="1"/>
  <c r="AV151" i="1"/>
  <c r="AZ151" i="1"/>
  <c r="BD151" i="1"/>
  <c r="BH151" i="1"/>
  <c r="BL151" i="1"/>
  <c r="BP151" i="1"/>
  <c r="BT151" i="1"/>
  <c r="BX151" i="1"/>
  <c r="CB151" i="1"/>
  <c r="U151" i="1"/>
  <c r="AB146" i="1"/>
  <c r="AF146" i="1"/>
  <c r="AJ146" i="1"/>
  <c r="AN146" i="1"/>
  <c r="AR146" i="1"/>
  <c r="AV146" i="1"/>
  <c r="AZ146" i="1"/>
  <c r="BD146" i="1"/>
  <c r="BH146" i="1"/>
  <c r="BL146" i="1"/>
  <c r="BP146" i="1"/>
  <c r="BT146" i="1"/>
  <c r="BX146" i="1"/>
  <c r="CB146" i="1"/>
  <c r="U146" i="1"/>
  <c r="AB145" i="1"/>
  <c r="AF145" i="1"/>
  <c r="AJ145" i="1"/>
  <c r="AN145" i="1"/>
  <c r="AR145" i="1"/>
  <c r="AV145" i="1"/>
  <c r="AZ145" i="1"/>
  <c r="BD145" i="1"/>
  <c r="BH145" i="1"/>
  <c r="BL145" i="1"/>
  <c r="BP145" i="1"/>
  <c r="BT145" i="1"/>
  <c r="BX145" i="1"/>
  <c r="CB145" i="1"/>
  <c r="U145" i="1"/>
  <c r="AE144" i="1"/>
  <c r="AU144" i="1"/>
  <c r="BK144" i="1"/>
  <c r="CA144" i="1"/>
  <c r="AI144" i="1"/>
  <c r="AY144" i="1"/>
  <c r="BO144" i="1"/>
  <c r="AA144" i="1"/>
  <c r="AQ144" i="1"/>
  <c r="BG144" i="1"/>
  <c r="BW144" i="1"/>
  <c r="AM144" i="1"/>
  <c r="BC144" i="1"/>
  <c r="BS144" i="1"/>
  <c r="AE143" i="1"/>
  <c r="AU143" i="1"/>
  <c r="BK143" i="1"/>
  <c r="CA143" i="1"/>
  <c r="AI143" i="1"/>
  <c r="AY143" i="1"/>
  <c r="BO143" i="1"/>
  <c r="AA143" i="1"/>
  <c r="AQ143" i="1"/>
  <c r="BG143" i="1"/>
  <c r="BW143" i="1"/>
  <c r="AM143" i="1"/>
  <c r="BC143" i="1"/>
  <c r="BS143" i="1"/>
  <c r="AE140" i="1"/>
  <c r="AU140" i="1"/>
  <c r="BK140" i="1"/>
  <c r="CA140" i="1"/>
  <c r="AA140" i="1"/>
  <c r="AQ140" i="1"/>
  <c r="BG140" i="1"/>
  <c r="BW140" i="1"/>
  <c r="AM140" i="1"/>
  <c r="BC140" i="1"/>
  <c r="BS140" i="1"/>
  <c r="AI140" i="1"/>
  <c r="AY140" i="1"/>
  <c r="BO140" i="1"/>
  <c r="AE138" i="1"/>
  <c r="AU138" i="1"/>
  <c r="BK138" i="1"/>
  <c r="CA138" i="1"/>
  <c r="AI138" i="1"/>
  <c r="AY138" i="1"/>
  <c r="AA138" i="1"/>
  <c r="AQ138" i="1"/>
  <c r="BG138" i="1"/>
  <c r="BW138" i="1"/>
  <c r="BO138" i="1"/>
  <c r="AM138" i="1"/>
  <c r="BC138" i="1"/>
  <c r="BS138" i="1"/>
  <c r="AB168" i="1"/>
  <c r="AF168" i="1"/>
  <c r="AJ168" i="1"/>
  <c r="AN168" i="1"/>
  <c r="AR168" i="1"/>
  <c r="AV168" i="1"/>
  <c r="AZ168" i="1"/>
  <c r="BD168" i="1"/>
  <c r="BH168" i="1"/>
  <c r="BL168" i="1"/>
  <c r="BP168" i="1"/>
  <c r="BT168" i="1"/>
  <c r="BX168" i="1"/>
  <c r="CB168" i="1"/>
  <c r="AD168" i="1"/>
  <c r="AL168" i="1"/>
  <c r="AT168" i="1"/>
  <c r="BB168" i="1"/>
  <c r="BE168" i="1" s="1"/>
  <c r="BF168" i="1"/>
  <c r="BN168" i="1"/>
  <c r="BQ168" i="1" s="1"/>
  <c r="BV168" i="1"/>
  <c r="BY168" i="1" s="1"/>
  <c r="Z168" i="1"/>
  <c r="AC168" i="1" s="1"/>
  <c r="AH168" i="1"/>
  <c r="AP168" i="1"/>
  <c r="AX168" i="1"/>
  <c r="BA168" i="1" s="1"/>
  <c r="BJ168" i="1"/>
  <c r="BM168" i="1" s="1"/>
  <c r="BR168" i="1"/>
  <c r="BU168" i="1" s="1"/>
  <c r="BZ168" i="1"/>
  <c r="Z167" i="1"/>
  <c r="AH167" i="1"/>
  <c r="AK167" i="1" s="1"/>
  <c r="AL167" i="1"/>
  <c r="AT167" i="1"/>
  <c r="BB167" i="1"/>
  <c r="BJ167" i="1"/>
  <c r="BM167" i="1" s="1"/>
  <c r="BR167" i="1"/>
  <c r="BZ167" i="1"/>
  <c r="AD167" i="1"/>
  <c r="AP167" i="1"/>
  <c r="AS167" i="1" s="1"/>
  <c r="AX167" i="1"/>
  <c r="BF167" i="1"/>
  <c r="BN167" i="1"/>
  <c r="BV167" i="1"/>
  <c r="BY167" i="1" s="1"/>
  <c r="Z163" i="1"/>
  <c r="AH163" i="1"/>
  <c r="AP163" i="1"/>
  <c r="AT163" i="1"/>
  <c r="BB163" i="1"/>
  <c r="BJ163" i="1"/>
  <c r="BR163" i="1"/>
  <c r="BZ163" i="1"/>
  <c r="AD163" i="1"/>
  <c r="AL163" i="1"/>
  <c r="AX163" i="1"/>
  <c r="BF163" i="1"/>
  <c r="BI163" i="1" s="1"/>
  <c r="BN163" i="1"/>
  <c r="BV163" i="1"/>
  <c r="AD162" i="1"/>
  <c r="AH162" i="1"/>
  <c r="AK162" i="1" s="1"/>
  <c r="AP162" i="1"/>
  <c r="AX162" i="1"/>
  <c r="BB162" i="1"/>
  <c r="BJ162" i="1"/>
  <c r="BM162" i="1" s="1"/>
  <c r="BR162" i="1"/>
  <c r="BZ162" i="1"/>
  <c r="Z162" i="1"/>
  <c r="AL162" i="1"/>
  <c r="AT162" i="1"/>
  <c r="BF162" i="1"/>
  <c r="BN162" i="1"/>
  <c r="BV162" i="1"/>
  <c r="BY162" i="1" s="1"/>
  <c r="AB160" i="1"/>
  <c r="AF160" i="1"/>
  <c r="AJ160" i="1"/>
  <c r="AN160" i="1"/>
  <c r="AR160" i="1"/>
  <c r="AV160" i="1"/>
  <c r="AZ160" i="1"/>
  <c r="BD160" i="1"/>
  <c r="BH160" i="1"/>
  <c r="BL160" i="1"/>
  <c r="BP160" i="1"/>
  <c r="BT160" i="1"/>
  <c r="BX160" i="1"/>
  <c r="CB160" i="1"/>
  <c r="AB157" i="1"/>
  <c r="AF157" i="1"/>
  <c r="AJ157" i="1"/>
  <c r="AN157" i="1"/>
  <c r="AR157" i="1"/>
  <c r="AV157" i="1"/>
  <c r="AZ157" i="1"/>
  <c r="BD157" i="1"/>
  <c r="BH157" i="1"/>
  <c r="BL157" i="1"/>
  <c r="BP157" i="1"/>
  <c r="BT157" i="1"/>
  <c r="BX157" i="1"/>
  <c r="CB157" i="1"/>
  <c r="AB155" i="1"/>
  <c r="AF155" i="1"/>
  <c r="AJ155" i="1"/>
  <c r="AN155" i="1"/>
  <c r="AR155" i="1"/>
  <c r="AV155" i="1"/>
  <c r="AZ155" i="1"/>
  <c r="BD155" i="1"/>
  <c r="BH155" i="1"/>
  <c r="BL155" i="1"/>
  <c r="BP155" i="1"/>
  <c r="BT155" i="1"/>
  <c r="BX155" i="1"/>
  <c r="CB155" i="1"/>
  <c r="BR152" i="1"/>
  <c r="Z152" i="1"/>
  <c r="AD152" i="1"/>
  <c r="AH152" i="1"/>
  <c r="AL152" i="1"/>
  <c r="AP152" i="1"/>
  <c r="AS152" i="1" s="1"/>
  <c r="AT152" i="1"/>
  <c r="AX152" i="1"/>
  <c r="BB152" i="1"/>
  <c r="BF152" i="1"/>
  <c r="BJ152" i="1"/>
  <c r="BN152" i="1"/>
  <c r="BV152" i="1"/>
  <c r="BZ152" i="1"/>
  <c r="CC152" i="1" s="1"/>
  <c r="Z150" i="1"/>
  <c r="AD150" i="1"/>
  <c r="AH150" i="1"/>
  <c r="AL150" i="1"/>
  <c r="AO150" i="1" s="1"/>
  <c r="AP150" i="1"/>
  <c r="AT150" i="1"/>
  <c r="AX150" i="1"/>
  <c r="BB150" i="1"/>
  <c r="BE150" i="1" s="1"/>
  <c r="BF150" i="1"/>
  <c r="BJ150" i="1"/>
  <c r="BN150" i="1"/>
  <c r="BR150" i="1"/>
  <c r="BU150" i="1" s="1"/>
  <c r="BV150" i="1"/>
  <c r="BZ150" i="1"/>
  <c r="AB147" i="1"/>
  <c r="AF147" i="1"/>
  <c r="AJ147" i="1"/>
  <c r="AN147" i="1"/>
  <c r="AR147" i="1"/>
  <c r="AV147" i="1"/>
  <c r="AZ147" i="1"/>
  <c r="BD147" i="1"/>
  <c r="BH147" i="1"/>
  <c r="BL147" i="1"/>
  <c r="BP147" i="1"/>
  <c r="BT147" i="1"/>
  <c r="BX147" i="1"/>
  <c r="CB147" i="1"/>
  <c r="AB167" i="1"/>
  <c r="AF167" i="1"/>
  <c r="AJ167" i="1"/>
  <c r="AN167" i="1"/>
  <c r="AR167" i="1"/>
  <c r="AV167" i="1"/>
  <c r="AZ167" i="1"/>
  <c r="BD167" i="1"/>
  <c r="BH167" i="1"/>
  <c r="BL167" i="1"/>
  <c r="BP167" i="1"/>
  <c r="BT167" i="1"/>
  <c r="BX167" i="1"/>
  <c r="CB167" i="1"/>
  <c r="AB163" i="1"/>
  <c r="AF163" i="1"/>
  <c r="AJ163" i="1"/>
  <c r="AN163" i="1"/>
  <c r="AR163" i="1"/>
  <c r="AV163" i="1"/>
  <c r="AZ163" i="1"/>
  <c r="BD163" i="1"/>
  <c r="BH163" i="1"/>
  <c r="BL163" i="1"/>
  <c r="BP163" i="1"/>
  <c r="BT163" i="1"/>
  <c r="BX163" i="1"/>
  <c r="CB163" i="1"/>
  <c r="AB162" i="1"/>
  <c r="AF162" i="1"/>
  <c r="AJ162" i="1"/>
  <c r="AN162" i="1"/>
  <c r="AR162" i="1"/>
  <c r="AV162" i="1"/>
  <c r="AZ162" i="1"/>
  <c r="BD162" i="1"/>
  <c r="BH162" i="1"/>
  <c r="BL162" i="1"/>
  <c r="BP162" i="1"/>
  <c r="BT162" i="1"/>
  <c r="BX162" i="1"/>
  <c r="CB162" i="1"/>
  <c r="AH160" i="1"/>
  <c r="AP160" i="1"/>
  <c r="BB160" i="1"/>
  <c r="BN160" i="1"/>
  <c r="BQ160" i="1" s="1"/>
  <c r="BV160" i="1"/>
  <c r="BY160" i="1" s="1"/>
  <c r="BZ160" i="1"/>
  <c r="CC160" i="1" s="1"/>
  <c r="Z160" i="1"/>
  <c r="AC160" i="1" s="1"/>
  <c r="AD160" i="1"/>
  <c r="AL160" i="1"/>
  <c r="AT160" i="1"/>
  <c r="AW160" i="1" s="1"/>
  <c r="AX160" i="1"/>
  <c r="BF160" i="1"/>
  <c r="BI160" i="1" s="1"/>
  <c r="BJ160" i="1"/>
  <c r="BM160" i="1" s="1"/>
  <c r="BR160" i="1"/>
  <c r="BU160" i="1" s="1"/>
  <c r="Z157" i="1"/>
  <c r="AC157" i="1" s="1"/>
  <c r="AL157" i="1"/>
  <c r="AT157" i="1"/>
  <c r="BB157" i="1"/>
  <c r="BE157" i="1" s="1"/>
  <c r="BF157" i="1"/>
  <c r="BI157" i="1" s="1"/>
  <c r="BN157" i="1"/>
  <c r="BQ157" i="1" s="1"/>
  <c r="BV157" i="1"/>
  <c r="BY157" i="1" s="1"/>
  <c r="AD157" i="1"/>
  <c r="AG157" i="1" s="1"/>
  <c r="AH157" i="1"/>
  <c r="AP157" i="1"/>
  <c r="AX157" i="1"/>
  <c r="BA157" i="1" s="1"/>
  <c r="BJ157" i="1"/>
  <c r="BM157" i="1" s="1"/>
  <c r="BR157" i="1"/>
  <c r="BU157" i="1" s="1"/>
  <c r="BZ157" i="1"/>
  <c r="AD155" i="1"/>
  <c r="AL155" i="1"/>
  <c r="AO155" i="1" s="1"/>
  <c r="AP155" i="1"/>
  <c r="AS155" i="1" s="1"/>
  <c r="AX155" i="1"/>
  <c r="BA155" i="1" s="1"/>
  <c r="BF155" i="1"/>
  <c r="BI155" i="1" s="1"/>
  <c r="BN155" i="1"/>
  <c r="BQ155" i="1" s="1"/>
  <c r="BV155" i="1"/>
  <c r="BY155" i="1" s="1"/>
  <c r="Z155" i="1"/>
  <c r="AC155" i="1" s="1"/>
  <c r="AH155" i="1"/>
  <c r="AT155" i="1"/>
  <c r="AW155" i="1" s="1"/>
  <c r="BB155" i="1"/>
  <c r="BJ155" i="1"/>
  <c r="BM155" i="1" s="1"/>
  <c r="BR155" i="1"/>
  <c r="BZ155" i="1"/>
  <c r="CC155" i="1" s="1"/>
  <c r="AB152" i="1"/>
  <c r="AF152" i="1"/>
  <c r="AJ152" i="1"/>
  <c r="AN152" i="1"/>
  <c r="AR152" i="1"/>
  <c r="AV152" i="1"/>
  <c r="AZ152" i="1"/>
  <c r="BD152" i="1"/>
  <c r="BH152" i="1"/>
  <c r="BL152" i="1"/>
  <c r="BP152" i="1"/>
  <c r="BT152" i="1"/>
  <c r="BX152" i="1"/>
  <c r="CB152" i="1"/>
  <c r="AB150" i="1"/>
  <c r="AF150" i="1"/>
  <c r="AJ150" i="1"/>
  <c r="AN150" i="1"/>
  <c r="AR150" i="1"/>
  <c r="AV150" i="1"/>
  <c r="AZ150" i="1"/>
  <c r="BD150" i="1"/>
  <c r="BH150" i="1"/>
  <c r="BL150" i="1"/>
  <c r="BP150" i="1"/>
  <c r="BT150" i="1"/>
  <c r="BX150" i="1"/>
  <c r="CB150" i="1"/>
  <c r="Z148" i="1"/>
  <c r="AD148" i="1"/>
  <c r="AG148" i="1" s="1"/>
  <c r="AH148" i="1"/>
  <c r="AL148" i="1"/>
  <c r="AO148" i="1" s="1"/>
  <c r="AP148" i="1"/>
  <c r="AT148" i="1"/>
  <c r="AX148" i="1"/>
  <c r="BA148" i="1" s="1"/>
  <c r="BB148" i="1"/>
  <c r="BE148" i="1" s="1"/>
  <c r="BF148" i="1"/>
  <c r="BI148" i="1" s="1"/>
  <c r="BJ148" i="1"/>
  <c r="BM148" i="1" s="1"/>
  <c r="BN148" i="1"/>
  <c r="BQ148" i="1" s="1"/>
  <c r="BR148" i="1"/>
  <c r="BU148" i="1" s="1"/>
  <c r="BV148" i="1"/>
  <c r="BY148" i="1" s="1"/>
  <c r="BZ148" i="1"/>
  <c r="CC148" i="1" s="1"/>
  <c r="Z147" i="1"/>
  <c r="AD147" i="1"/>
  <c r="AG147" i="1" s="1"/>
  <c r="AH147" i="1"/>
  <c r="AL147" i="1"/>
  <c r="AP147" i="1"/>
  <c r="AT147" i="1"/>
  <c r="AW147" i="1" s="1"/>
  <c r="AX147" i="1"/>
  <c r="BB147" i="1"/>
  <c r="BE147" i="1" s="1"/>
  <c r="BF147" i="1"/>
  <c r="BI147" i="1" s="1"/>
  <c r="BJ147" i="1"/>
  <c r="BM147" i="1" s="1"/>
  <c r="BN147" i="1"/>
  <c r="BQ147" i="1" s="1"/>
  <c r="BR147" i="1"/>
  <c r="BU147" i="1" s="1"/>
  <c r="BV147" i="1"/>
  <c r="BY147" i="1" s="1"/>
  <c r="BZ147" i="1"/>
  <c r="CC147" i="1" s="1"/>
  <c r="AB171" i="1"/>
  <c r="AF171" i="1"/>
  <c r="AJ171" i="1"/>
  <c r="AN171" i="1"/>
  <c r="AR171" i="1"/>
  <c r="AV171" i="1"/>
  <c r="AZ171" i="1"/>
  <c r="BD171" i="1"/>
  <c r="BH171" i="1"/>
  <c r="BL171" i="1"/>
  <c r="BP171" i="1"/>
  <c r="BT171" i="1"/>
  <c r="BX171" i="1"/>
  <c r="CB171" i="1"/>
  <c r="Z171" i="1"/>
  <c r="AH171" i="1"/>
  <c r="AK171" i="1" s="1"/>
  <c r="AT171" i="1"/>
  <c r="BF171" i="1"/>
  <c r="BI171" i="1" s="1"/>
  <c r="BN171" i="1"/>
  <c r="BQ171" i="1" s="1"/>
  <c r="BV171" i="1"/>
  <c r="BY171" i="1" s="1"/>
  <c r="AD171" i="1"/>
  <c r="AL171" i="1"/>
  <c r="AP171" i="1"/>
  <c r="AX171" i="1"/>
  <c r="BB171" i="1"/>
  <c r="BJ171" i="1"/>
  <c r="BM171" i="1" s="1"/>
  <c r="BR171" i="1"/>
  <c r="BZ171" i="1"/>
  <c r="CC171" i="1" s="1"/>
  <c r="AB170" i="1"/>
  <c r="AF170" i="1"/>
  <c r="AJ170" i="1"/>
  <c r="AN170" i="1"/>
  <c r="AR170" i="1"/>
  <c r="AV170" i="1"/>
  <c r="AZ170" i="1"/>
  <c r="BD170" i="1"/>
  <c r="BH170" i="1"/>
  <c r="BL170" i="1"/>
  <c r="BP170" i="1"/>
  <c r="BT170" i="1"/>
  <c r="BX170" i="1"/>
  <c r="CB170" i="1"/>
  <c r="AD170" i="1"/>
  <c r="AP170" i="1"/>
  <c r="AS170" i="1" s="1"/>
  <c r="AX170" i="1"/>
  <c r="BA170" i="1" s="1"/>
  <c r="BF170" i="1"/>
  <c r="BI170" i="1" s="1"/>
  <c r="BN170" i="1"/>
  <c r="BQ170" i="1" s="1"/>
  <c r="BR170" i="1"/>
  <c r="BU170" i="1" s="1"/>
  <c r="BZ170" i="1"/>
  <c r="CC170" i="1" s="1"/>
  <c r="Z170" i="1"/>
  <c r="AH170" i="1"/>
  <c r="AL170" i="1"/>
  <c r="AT170" i="1"/>
  <c r="BB170" i="1"/>
  <c r="BJ170" i="1"/>
  <c r="BM170" i="1" s="1"/>
  <c r="BV170" i="1"/>
  <c r="BY170" i="1" s="1"/>
  <c r="AB169" i="1"/>
  <c r="AF169" i="1"/>
  <c r="AJ169" i="1"/>
  <c r="AN169" i="1"/>
  <c r="AR169" i="1"/>
  <c r="AV169" i="1"/>
  <c r="AZ169" i="1"/>
  <c r="BD169" i="1"/>
  <c r="BH169" i="1"/>
  <c r="BL169" i="1"/>
  <c r="BP169" i="1"/>
  <c r="BT169" i="1"/>
  <c r="BX169" i="1"/>
  <c r="CB169" i="1"/>
  <c r="Z169" i="1"/>
  <c r="AC169" i="1" s="1"/>
  <c r="AH169" i="1"/>
  <c r="AK169" i="1" s="1"/>
  <c r="AL169" i="1"/>
  <c r="AT169" i="1"/>
  <c r="BB169" i="1"/>
  <c r="BJ169" i="1"/>
  <c r="BM169" i="1" s="1"/>
  <c r="BR169" i="1"/>
  <c r="BZ169" i="1"/>
  <c r="CC169" i="1" s="1"/>
  <c r="AD169" i="1"/>
  <c r="AP169" i="1"/>
  <c r="AX169" i="1"/>
  <c r="BF169" i="1"/>
  <c r="BN169" i="1"/>
  <c r="BQ169" i="1" s="1"/>
  <c r="BV169" i="1"/>
  <c r="BY169" i="1" s="1"/>
  <c r="AB165" i="1"/>
  <c r="AF165" i="1"/>
  <c r="AJ165" i="1"/>
  <c r="AN165" i="1"/>
  <c r="AR165" i="1"/>
  <c r="AV165" i="1"/>
  <c r="AZ165" i="1"/>
  <c r="BD165" i="1"/>
  <c r="BH165" i="1"/>
  <c r="BL165" i="1"/>
  <c r="BP165" i="1"/>
  <c r="BT165" i="1"/>
  <c r="BX165" i="1"/>
  <c r="CB165" i="1"/>
  <c r="AD165" i="1"/>
  <c r="AH165" i="1"/>
  <c r="AK165" i="1" s="1"/>
  <c r="AP165" i="1"/>
  <c r="AX165" i="1"/>
  <c r="BF165" i="1"/>
  <c r="BI165" i="1" s="1"/>
  <c r="BJ165" i="1"/>
  <c r="BM165" i="1" s="1"/>
  <c r="BR165" i="1"/>
  <c r="BZ165" i="1"/>
  <c r="CC165" i="1" s="1"/>
  <c r="Z165" i="1"/>
  <c r="AL165" i="1"/>
  <c r="AO165" i="1" s="1"/>
  <c r="AT165" i="1"/>
  <c r="BB165" i="1"/>
  <c r="BN165" i="1"/>
  <c r="BQ165" i="1" s="1"/>
  <c r="BV165" i="1"/>
  <c r="BY165" i="1" s="1"/>
  <c r="AB153" i="1"/>
  <c r="AF153" i="1"/>
  <c r="AJ153" i="1"/>
  <c r="AN153" i="1"/>
  <c r="AR153" i="1"/>
  <c r="AV153" i="1"/>
  <c r="AZ153" i="1"/>
  <c r="BD153" i="1"/>
  <c r="BH153" i="1"/>
  <c r="BL153" i="1"/>
  <c r="BP153" i="1"/>
  <c r="BT153" i="1"/>
  <c r="BX153" i="1"/>
  <c r="CB153" i="1"/>
  <c r="Z153" i="1"/>
  <c r="AD153" i="1"/>
  <c r="AG153" i="1" s="1"/>
  <c r="AH153" i="1"/>
  <c r="AK153" i="1" s="1"/>
  <c r="AL153" i="1"/>
  <c r="AP153" i="1"/>
  <c r="AT153" i="1"/>
  <c r="AW153" i="1" s="1"/>
  <c r="AX153" i="1"/>
  <c r="BA153" i="1" s="1"/>
  <c r="BB153" i="1"/>
  <c r="BF153" i="1"/>
  <c r="BI153" i="1" s="1"/>
  <c r="BJ153" i="1"/>
  <c r="BM153" i="1" s="1"/>
  <c r="BN153" i="1"/>
  <c r="BQ153" i="1" s="1"/>
  <c r="BR153" i="1"/>
  <c r="BV153" i="1"/>
  <c r="BY153" i="1" s="1"/>
  <c r="BZ153" i="1"/>
  <c r="CC153" i="1" s="1"/>
  <c r="AA132" i="1"/>
  <c r="AI132" i="1"/>
  <c r="AQ132" i="1"/>
  <c r="AY132" i="1"/>
  <c r="BG132" i="1"/>
  <c r="BO132" i="1"/>
  <c r="BW132" i="1"/>
  <c r="AE132" i="1"/>
  <c r="AM132" i="1"/>
  <c r="AU132" i="1"/>
  <c r="BC132" i="1"/>
  <c r="BK132" i="1"/>
  <c r="BS132" i="1"/>
  <c r="CA132" i="1"/>
  <c r="AC132" i="1"/>
  <c r="AA131" i="1"/>
  <c r="AI131" i="1"/>
  <c r="AQ131" i="1"/>
  <c r="AY131" i="1"/>
  <c r="BG131" i="1"/>
  <c r="BO131" i="1"/>
  <c r="BW131" i="1"/>
  <c r="AE131" i="1"/>
  <c r="AM131" i="1"/>
  <c r="AU131" i="1"/>
  <c r="BC131" i="1"/>
  <c r="BK131" i="1"/>
  <c r="BS131" i="1"/>
  <c r="CA131" i="1"/>
  <c r="AB172" i="1"/>
  <c r="AF172" i="1"/>
  <c r="AJ172" i="1"/>
  <c r="AN172" i="1"/>
  <c r="AR172" i="1"/>
  <c r="AV172" i="1"/>
  <c r="AZ172" i="1"/>
  <c r="BD172" i="1"/>
  <c r="BH172" i="1"/>
  <c r="BL172" i="1"/>
  <c r="BP172" i="1"/>
  <c r="BT172" i="1"/>
  <c r="BX172" i="1"/>
  <c r="CB172" i="1"/>
  <c r="U172" i="1"/>
  <c r="AB166" i="1"/>
  <c r="AF166" i="1"/>
  <c r="AJ166" i="1"/>
  <c r="AN166" i="1"/>
  <c r="AR166" i="1"/>
  <c r="AV166" i="1"/>
  <c r="AZ166" i="1"/>
  <c r="BD166" i="1"/>
  <c r="BH166" i="1"/>
  <c r="BL166" i="1"/>
  <c r="BP166" i="1"/>
  <c r="BT166" i="1"/>
  <c r="BX166" i="1"/>
  <c r="CB166" i="1"/>
  <c r="U166" i="1"/>
  <c r="AB159" i="1"/>
  <c r="AF159" i="1"/>
  <c r="AJ159" i="1"/>
  <c r="AN159" i="1"/>
  <c r="AR159" i="1"/>
  <c r="AV159" i="1"/>
  <c r="AZ159" i="1"/>
  <c r="BD159" i="1"/>
  <c r="BH159" i="1"/>
  <c r="BL159" i="1"/>
  <c r="BP159" i="1"/>
  <c r="BT159" i="1"/>
  <c r="BX159" i="1"/>
  <c r="CB159" i="1"/>
  <c r="U159" i="1"/>
  <c r="AB158" i="1"/>
  <c r="AF158" i="1"/>
  <c r="AJ158" i="1"/>
  <c r="AN158" i="1"/>
  <c r="AR158" i="1"/>
  <c r="AV158" i="1"/>
  <c r="AZ158" i="1"/>
  <c r="BD158" i="1"/>
  <c r="BH158" i="1"/>
  <c r="BL158" i="1"/>
  <c r="BP158" i="1"/>
  <c r="BT158" i="1"/>
  <c r="BX158" i="1"/>
  <c r="CB158" i="1"/>
  <c r="U158" i="1"/>
  <c r="AB149" i="1"/>
  <c r="AF149" i="1"/>
  <c r="AJ149" i="1"/>
  <c r="AN149" i="1"/>
  <c r="AR149" i="1"/>
  <c r="AV149" i="1"/>
  <c r="AZ149" i="1"/>
  <c r="BD149" i="1"/>
  <c r="BH149" i="1"/>
  <c r="BL149" i="1"/>
  <c r="BP149" i="1"/>
  <c r="BT149" i="1"/>
  <c r="BX149" i="1"/>
  <c r="CB149" i="1"/>
  <c r="U149" i="1"/>
  <c r="AE142" i="1"/>
  <c r="AU142" i="1"/>
  <c r="BK142" i="1"/>
  <c r="CA142" i="1"/>
  <c r="AI142" i="1"/>
  <c r="AY142" i="1"/>
  <c r="BO142" i="1"/>
  <c r="AA142" i="1"/>
  <c r="AQ142" i="1"/>
  <c r="BG142" i="1"/>
  <c r="BW142" i="1"/>
  <c r="AM142" i="1"/>
  <c r="BC142" i="1"/>
  <c r="BS142" i="1"/>
  <c r="AE141" i="1"/>
  <c r="AU141" i="1"/>
  <c r="BK141" i="1"/>
  <c r="CA141" i="1"/>
  <c r="AA141" i="1"/>
  <c r="AQ141" i="1"/>
  <c r="BG141" i="1"/>
  <c r="BW141" i="1"/>
  <c r="BO141" i="1"/>
  <c r="AM141" i="1"/>
  <c r="BC141" i="1"/>
  <c r="BS141" i="1"/>
  <c r="AI141" i="1"/>
  <c r="AY141" i="1"/>
  <c r="AE139" i="1"/>
  <c r="AU139" i="1"/>
  <c r="BK139" i="1"/>
  <c r="CA139" i="1"/>
  <c r="AY139" i="1"/>
  <c r="BO139" i="1"/>
  <c r="AA139" i="1"/>
  <c r="AQ139" i="1"/>
  <c r="BG139" i="1"/>
  <c r="BW139" i="1"/>
  <c r="AM139" i="1"/>
  <c r="BC139" i="1"/>
  <c r="BS139" i="1"/>
  <c r="AI139" i="1"/>
  <c r="AE137" i="1"/>
  <c r="AU137" i="1"/>
  <c r="BK137" i="1"/>
  <c r="CA137" i="1"/>
  <c r="AI137" i="1"/>
  <c r="AY137" i="1"/>
  <c r="BO137" i="1"/>
  <c r="AA137" i="1"/>
  <c r="AQ137" i="1"/>
  <c r="BG137" i="1"/>
  <c r="BW137" i="1"/>
  <c r="AM137" i="1"/>
  <c r="BC137" i="1"/>
  <c r="BS137" i="1"/>
  <c r="AE136" i="1"/>
  <c r="AU136" i="1"/>
  <c r="BK136" i="1"/>
  <c r="CA136" i="1"/>
  <c r="AI136" i="1"/>
  <c r="AY136" i="1"/>
  <c r="BO136" i="1"/>
  <c r="AA136" i="1"/>
  <c r="AQ136" i="1"/>
  <c r="BG136" i="1"/>
  <c r="BW136" i="1"/>
  <c r="AM136" i="1"/>
  <c r="BC136" i="1"/>
  <c r="BS136" i="1"/>
  <c r="AY173" i="1"/>
  <c r="AQ173" i="1"/>
  <c r="AI173" i="1"/>
  <c r="AA173" i="1"/>
  <c r="BC171" i="1"/>
  <c r="AU171" i="1"/>
  <c r="AI171" i="1"/>
  <c r="AE171" i="1"/>
  <c r="AQ170" i="1"/>
  <c r="AI170" i="1"/>
  <c r="AA170" i="1"/>
  <c r="BG169" i="1"/>
  <c r="AY169" i="1"/>
  <c r="AM169" i="1"/>
  <c r="AE169" i="1"/>
  <c r="AM168" i="1"/>
  <c r="AE168" i="1"/>
  <c r="AY165" i="1"/>
  <c r="AM165" i="1"/>
  <c r="AE165" i="1"/>
  <c r="AA165" i="1"/>
  <c r="AY164" i="1"/>
  <c r="AQ164" i="1"/>
  <c r="AI164" i="1"/>
  <c r="AA164" i="1"/>
  <c r="AQ163" i="1"/>
  <c r="AI163" i="1"/>
  <c r="AA163" i="1"/>
  <c r="AQ162" i="1"/>
  <c r="AI162" i="1"/>
  <c r="AA162" i="1"/>
  <c r="AU161" i="1"/>
  <c r="AM161" i="1"/>
  <c r="AE161" i="1"/>
  <c r="AU160" i="1"/>
  <c r="AM160" i="1"/>
  <c r="AE160" i="1"/>
  <c r="AI159" i="1"/>
  <c r="AA159" i="1"/>
  <c r="AQ157" i="1"/>
  <c r="AM157" i="1"/>
  <c r="AE157" i="1"/>
  <c r="AU156" i="1"/>
  <c r="AM156" i="1"/>
  <c r="AE156" i="1"/>
  <c r="AM155" i="1"/>
  <c r="AE155" i="1"/>
  <c r="BC154" i="1"/>
  <c r="AU154" i="1"/>
  <c r="AM154" i="1"/>
  <c r="AE154" i="1"/>
  <c r="BG152" i="1"/>
  <c r="AY152" i="1"/>
  <c r="AQ152" i="1"/>
  <c r="AI152" i="1"/>
  <c r="AA152" i="1"/>
  <c r="AQ148" i="1"/>
  <c r="AI148" i="1"/>
  <c r="AA148" i="1"/>
  <c r="AY147" i="1"/>
  <c r="AQ147" i="1"/>
  <c r="AI147" i="1"/>
  <c r="AA147" i="1"/>
  <c r="CA146" i="1"/>
  <c r="BS146" i="1"/>
  <c r="BK146" i="1"/>
  <c r="BC146" i="1"/>
  <c r="AU146" i="1"/>
  <c r="AM146" i="1"/>
  <c r="AE146" i="1"/>
  <c r="BK145" i="1"/>
  <c r="BC145" i="1"/>
  <c r="AU145" i="1"/>
  <c r="AI145" i="1"/>
  <c r="AA145" i="1"/>
  <c r="AB126" i="1"/>
  <c r="AF126" i="1"/>
  <c r="AJ126" i="1"/>
  <c r="AN126" i="1"/>
  <c r="AR126" i="1"/>
  <c r="AV126" i="1"/>
  <c r="AZ126" i="1"/>
  <c r="BD126" i="1"/>
  <c r="BH126" i="1"/>
  <c r="BL126" i="1"/>
  <c r="BP126" i="1"/>
  <c r="BT126" i="1"/>
  <c r="BX126" i="1"/>
  <c r="CB126" i="1"/>
  <c r="Z122" i="1"/>
  <c r="AD122" i="1"/>
  <c r="AH122" i="1"/>
  <c r="AL122" i="1"/>
  <c r="AP122" i="1"/>
  <c r="AT122" i="1"/>
  <c r="AX122" i="1"/>
  <c r="BB122" i="1"/>
  <c r="BF122" i="1"/>
  <c r="BJ122" i="1"/>
  <c r="BN122" i="1"/>
  <c r="BR122" i="1"/>
  <c r="BV122" i="1"/>
  <c r="BZ122" i="1"/>
  <c r="BO121" i="1"/>
  <c r="AY121" i="1"/>
  <c r="AI121" i="1"/>
  <c r="Z118" i="1"/>
  <c r="AD118" i="1"/>
  <c r="AG118" i="1" s="1"/>
  <c r="AH118" i="1"/>
  <c r="AL118" i="1"/>
  <c r="AP118" i="1"/>
  <c r="AT118" i="1"/>
  <c r="AW118" i="1" s="1"/>
  <c r="AX118" i="1"/>
  <c r="BB118" i="1"/>
  <c r="BF118" i="1"/>
  <c r="BJ118" i="1"/>
  <c r="BN118" i="1"/>
  <c r="BR118" i="1"/>
  <c r="BV118" i="1"/>
  <c r="BZ118" i="1"/>
  <c r="BO117" i="1"/>
  <c r="AY117" i="1"/>
  <c r="AI117" i="1"/>
  <c r="Z114" i="1"/>
  <c r="AC114" i="1" s="1"/>
  <c r="AD114" i="1"/>
  <c r="AH114" i="1"/>
  <c r="AL114" i="1"/>
  <c r="AP114" i="1"/>
  <c r="AS114" i="1" s="1"/>
  <c r="AT114" i="1"/>
  <c r="AX114" i="1"/>
  <c r="BB114" i="1"/>
  <c r="BF114" i="1"/>
  <c r="BI114" i="1" s="1"/>
  <c r="BJ114" i="1"/>
  <c r="BN114" i="1"/>
  <c r="BR114" i="1"/>
  <c r="BV114" i="1"/>
  <c r="BY114" i="1" s="1"/>
  <c r="BZ114" i="1"/>
  <c r="Z101" i="1"/>
  <c r="AD101" i="1"/>
  <c r="AH101" i="1"/>
  <c r="AL101" i="1"/>
  <c r="AP101" i="1"/>
  <c r="AT101" i="1"/>
  <c r="AX101" i="1"/>
  <c r="BB101" i="1"/>
  <c r="BF101" i="1"/>
  <c r="BJ101" i="1"/>
  <c r="BN101" i="1"/>
  <c r="BR101" i="1"/>
  <c r="BV101" i="1"/>
  <c r="BZ101" i="1"/>
  <c r="Z58" i="1"/>
  <c r="AD58" i="1"/>
  <c r="AH58" i="1"/>
  <c r="AL58" i="1"/>
  <c r="AP58" i="1"/>
  <c r="AT58" i="1"/>
  <c r="AX58" i="1"/>
  <c r="BB58" i="1"/>
  <c r="BF58" i="1"/>
  <c r="BJ58" i="1"/>
  <c r="BN58" i="1"/>
  <c r="BR58" i="1"/>
  <c r="BV58" i="1"/>
  <c r="BZ58" i="1"/>
  <c r="U144" i="1"/>
  <c r="Y143" i="1"/>
  <c r="U143" i="1"/>
  <c r="U142" i="1"/>
  <c r="Y141" i="1"/>
  <c r="U141" i="1"/>
  <c r="U140" i="1"/>
  <c r="U139" i="1"/>
  <c r="U138" i="1"/>
  <c r="U137" i="1"/>
  <c r="Y136" i="1"/>
  <c r="U136" i="1"/>
  <c r="U135" i="1"/>
  <c r="BW133" i="1"/>
  <c r="BO133" i="1"/>
  <c r="BG133" i="1"/>
  <c r="AY133" i="1"/>
  <c r="AQ133" i="1"/>
  <c r="AI133" i="1"/>
  <c r="AA133" i="1"/>
  <c r="AC133" i="1" s="1"/>
  <c r="BZ132" i="1"/>
  <c r="BR132" i="1"/>
  <c r="BU132" i="1" s="1"/>
  <c r="BJ132" i="1"/>
  <c r="BB132" i="1"/>
  <c r="AT132" i="1"/>
  <c r="AL132" i="1"/>
  <c r="AO132" i="1" s="1"/>
  <c r="AD132" i="1"/>
  <c r="AB131" i="1"/>
  <c r="AF131" i="1"/>
  <c r="AJ131" i="1"/>
  <c r="AN131" i="1"/>
  <c r="AR131" i="1"/>
  <c r="AV131" i="1"/>
  <c r="AZ131" i="1"/>
  <c r="BD131" i="1"/>
  <c r="BH131" i="1"/>
  <c r="BL131" i="1"/>
  <c r="BP131" i="1"/>
  <c r="BT131" i="1"/>
  <c r="BX131" i="1"/>
  <c r="CB131" i="1"/>
  <c r="U131" i="1"/>
  <c r="CA129" i="1"/>
  <c r="BK129" i="1"/>
  <c r="AU129" i="1"/>
  <c r="AE129" i="1"/>
  <c r="BW128" i="1"/>
  <c r="BG128" i="1"/>
  <c r="AQ128" i="1"/>
  <c r="AA128" i="1"/>
  <c r="AB127" i="1"/>
  <c r="AF127" i="1"/>
  <c r="AJ127" i="1"/>
  <c r="AN127" i="1"/>
  <c r="AR127" i="1"/>
  <c r="AV127" i="1"/>
  <c r="AZ127" i="1"/>
  <c r="BD127" i="1"/>
  <c r="BH127" i="1"/>
  <c r="BL127" i="1"/>
  <c r="BP127" i="1"/>
  <c r="BT127" i="1"/>
  <c r="BX127" i="1"/>
  <c r="CB127" i="1"/>
  <c r="U127" i="1"/>
  <c r="CA125" i="1"/>
  <c r="BK125" i="1"/>
  <c r="AU125" i="1"/>
  <c r="AE125" i="1"/>
  <c r="BW124" i="1"/>
  <c r="BG124" i="1"/>
  <c r="AQ124" i="1"/>
  <c r="AA124" i="1"/>
  <c r="AB123" i="1"/>
  <c r="AF123" i="1"/>
  <c r="AJ123" i="1"/>
  <c r="AN123" i="1"/>
  <c r="AR123" i="1"/>
  <c r="AV123" i="1"/>
  <c r="AZ123" i="1"/>
  <c r="BD123" i="1"/>
  <c r="BH123" i="1"/>
  <c r="BL123" i="1"/>
  <c r="BP123" i="1"/>
  <c r="BT123" i="1"/>
  <c r="BX123" i="1"/>
  <c r="CB123" i="1"/>
  <c r="U123" i="1"/>
  <c r="CA121" i="1"/>
  <c r="BK121" i="1"/>
  <c r="AU121" i="1"/>
  <c r="AE121" i="1"/>
  <c r="BW120" i="1"/>
  <c r="BG120" i="1"/>
  <c r="AQ120" i="1"/>
  <c r="AA120" i="1"/>
  <c r="AB119" i="1"/>
  <c r="AF119" i="1"/>
  <c r="AJ119" i="1"/>
  <c r="AN119" i="1"/>
  <c r="AR119" i="1"/>
  <c r="AV119" i="1"/>
  <c r="AZ119" i="1"/>
  <c r="BD119" i="1"/>
  <c r="BH119" i="1"/>
  <c r="BL119" i="1"/>
  <c r="BP119" i="1"/>
  <c r="BT119" i="1"/>
  <c r="BX119" i="1"/>
  <c r="CB119" i="1"/>
  <c r="U119" i="1"/>
  <c r="CA117" i="1"/>
  <c r="BK117" i="1"/>
  <c r="AU117" i="1"/>
  <c r="AE117" i="1"/>
  <c r="BW116" i="1"/>
  <c r="BG116" i="1"/>
  <c r="AQ116" i="1"/>
  <c r="AA116" i="1"/>
  <c r="AB115" i="1"/>
  <c r="AF115" i="1"/>
  <c r="AJ115" i="1"/>
  <c r="AN115" i="1"/>
  <c r="AR115" i="1"/>
  <c r="AV115" i="1"/>
  <c r="AZ115" i="1"/>
  <c r="BD115" i="1"/>
  <c r="BH115" i="1"/>
  <c r="BL115" i="1"/>
  <c r="BP115" i="1"/>
  <c r="BT115" i="1"/>
  <c r="BX115" i="1"/>
  <c r="CB115" i="1"/>
  <c r="U115" i="1"/>
  <c r="Z96" i="1"/>
  <c r="AD96" i="1"/>
  <c r="AH96" i="1"/>
  <c r="AL96" i="1"/>
  <c r="AP96" i="1"/>
  <c r="AT96" i="1"/>
  <c r="AX96" i="1"/>
  <c r="BB96" i="1"/>
  <c r="BF96" i="1"/>
  <c r="BJ96" i="1"/>
  <c r="BN96" i="1"/>
  <c r="BR96" i="1"/>
  <c r="BV96" i="1"/>
  <c r="BZ96" i="1"/>
  <c r="M95" i="1"/>
  <c r="V95" i="1"/>
  <c r="Q95" i="1"/>
  <c r="X95" i="1" s="1"/>
  <c r="Z93" i="1"/>
  <c r="AD93" i="1"/>
  <c r="AH93" i="1"/>
  <c r="AL93" i="1"/>
  <c r="AP93" i="1"/>
  <c r="AT93" i="1"/>
  <c r="AX93" i="1"/>
  <c r="BB93" i="1"/>
  <c r="BF93" i="1"/>
  <c r="BJ93" i="1"/>
  <c r="BN93" i="1"/>
  <c r="BR93" i="1"/>
  <c r="BV93" i="1"/>
  <c r="BZ93" i="1"/>
  <c r="Z88" i="1"/>
  <c r="AD88" i="1"/>
  <c r="AH88" i="1"/>
  <c r="AL88" i="1"/>
  <c r="AP88" i="1"/>
  <c r="AT88" i="1"/>
  <c r="AX88" i="1"/>
  <c r="BB88" i="1"/>
  <c r="BF88" i="1"/>
  <c r="BJ88" i="1"/>
  <c r="BN88" i="1"/>
  <c r="BR88" i="1"/>
  <c r="BV88" i="1"/>
  <c r="BZ88" i="1"/>
  <c r="M87" i="1"/>
  <c r="V87" i="1"/>
  <c r="Q87" i="1"/>
  <c r="X87" i="1" s="1"/>
  <c r="Z81" i="1"/>
  <c r="AD81" i="1"/>
  <c r="AH81" i="1"/>
  <c r="AL81" i="1"/>
  <c r="AP81" i="1"/>
  <c r="AT81" i="1"/>
  <c r="AX81" i="1"/>
  <c r="BB81" i="1"/>
  <c r="BF81" i="1"/>
  <c r="BJ81" i="1"/>
  <c r="BN81" i="1"/>
  <c r="BR81" i="1"/>
  <c r="BV81" i="1"/>
  <c r="BZ81" i="1"/>
  <c r="AU173" i="1"/>
  <c r="AM173" i="1"/>
  <c r="AY172" i="1"/>
  <c r="AQ172" i="1"/>
  <c r="AI172" i="1"/>
  <c r="AA172" i="1"/>
  <c r="AY171" i="1"/>
  <c r="AQ171" i="1"/>
  <c r="AM171" i="1"/>
  <c r="AU170" i="1"/>
  <c r="AM170" i="1"/>
  <c r="BK169" i="1"/>
  <c r="BC169" i="1"/>
  <c r="AU169" i="1"/>
  <c r="AQ169" i="1"/>
  <c r="AI169" i="1"/>
  <c r="AU167" i="1"/>
  <c r="AI167" i="1"/>
  <c r="AA167" i="1"/>
  <c r="AU166" i="1"/>
  <c r="AM166" i="1"/>
  <c r="AE166" i="1"/>
  <c r="AU164" i="1"/>
  <c r="AM164" i="1"/>
  <c r="AY163" i="1"/>
  <c r="AU163" i="1"/>
  <c r="AM163" i="1"/>
  <c r="AQ161" i="1"/>
  <c r="AI161" i="1"/>
  <c r="AY160" i="1"/>
  <c r="AQ160" i="1"/>
  <c r="AI160" i="1"/>
  <c r="AQ158" i="1"/>
  <c r="AI158" i="1"/>
  <c r="AA158" i="1"/>
  <c r="BG154" i="1"/>
  <c r="AY154" i="1"/>
  <c r="AQ154" i="1"/>
  <c r="AI154" i="1"/>
  <c r="AU153" i="1"/>
  <c r="AM153" i="1"/>
  <c r="AE153" i="1"/>
  <c r="AA153" i="1"/>
  <c r="BC152" i="1"/>
  <c r="AU152" i="1"/>
  <c r="AM152" i="1"/>
  <c r="AM151" i="1"/>
  <c r="AI151" i="1"/>
  <c r="AA151" i="1"/>
  <c r="AM150" i="1"/>
  <c r="AA150" i="1"/>
  <c r="AY149" i="1"/>
  <c r="AQ149" i="1"/>
  <c r="AI149" i="1"/>
  <c r="AA149" i="1"/>
  <c r="AU147" i="1"/>
  <c r="AM147" i="1"/>
  <c r="BW146" i="1"/>
  <c r="BO146" i="1"/>
  <c r="BG146" i="1"/>
  <c r="AY146" i="1"/>
  <c r="AQ146" i="1"/>
  <c r="AI146" i="1"/>
  <c r="AB132" i="1"/>
  <c r="AF132" i="1"/>
  <c r="AJ132" i="1"/>
  <c r="AN132" i="1"/>
  <c r="AR132" i="1"/>
  <c r="AV132" i="1"/>
  <c r="AZ132" i="1"/>
  <c r="BD132" i="1"/>
  <c r="BH132" i="1"/>
  <c r="BL132" i="1"/>
  <c r="BP132" i="1"/>
  <c r="BT132" i="1"/>
  <c r="BX132" i="1"/>
  <c r="CB132" i="1"/>
  <c r="AB130" i="1"/>
  <c r="AF130" i="1"/>
  <c r="AJ130" i="1"/>
  <c r="AN130" i="1"/>
  <c r="AR130" i="1"/>
  <c r="AV130" i="1"/>
  <c r="AZ130" i="1"/>
  <c r="BD130" i="1"/>
  <c r="BH130" i="1"/>
  <c r="BL130" i="1"/>
  <c r="BP130" i="1"/>
  <c r="BT130" i="1"/>
  <c r="BX130" i="1"/>
  <c r="CB130" i="1"/>
  <c r="Z130" i="1"/>
  <c r="AC130" i="1" s="1"/>
  <c r="AD130" i="1"/>
  <c r="AG130" i="1" s="1"/>
  <c r="AH130" i="1"/>
  <c r="AL130" i="1"/>
  <c r="AP130" i="1"/>
  <c r="AS130" i="1" s="1"/>
  <c r="AT130" i="1"/>
  <c r="AW130" i="1" s="1"/>
  <c r="AX130" i="1"/>
  <c r="BB130" i="1"/>
  <c r="BF130" i="1"/>
  <c r="BI130" i="1" s="1"/>
  <c r="BJ130" i="1"/>
  <c r="BN130" i="1"/>
  <c r="BR130" i="1"/>
  <c r="BV130" i="1"/>
  <c r="BY130" i="1" s="1"/>
  <c r="BZ130" i="1"/>
  <c r="Z126" i="1"/>
  <c r="AD126" i="1"/>
  <c r="AG126" i="1" s="1"/>
  <c r="AH126" i="1"/>
  <c r="AK126" i="1" s="1"/>
  <c r="AL126" i="1"/>
  <c r="AO126" i="1" s="1"/>
  <c r="AP126" i="1"/>
  <c r="AT126" i="1"/>
  <c r="AX126" i="1"/>
  <c r="BA126" i="1" s="1"/>
  <c r="BB126" i="1"/>
  <c r="BE126" i="1" s="1"/>
  <c r="BF126" i="1"/>
  <c r="BJ126" i="1"/>
  <c r="BN126" i="1"/>
  <c r="BQ126" i="1" s="1"/>
  <c r="BR126" i="1"/>
  <c r="BU126" i="1" s="1"/>
  <c r="BV126" i="1"/>
  <c r="BZ126" i="1"/>
  <c r="BO125" i="1"/>
  <c r="AY125" i="1"/>
  <c r="AI125" i="1"/>
  <c r="AB122" i="1"/>
  <c r="AF122" i="1"/>
  <c r="AJ122" i="1"/>
  <c r="AN122" i="1"/>
  <c r="AR122" i="1"/>
  <c r="AV122" i="1"/>
  <c r="AZ122" i="1"/>
  <c r="BD122" i="1"/>
  <c r="BH122" i="1"/>
  <c r="BL122" i="1"/>
  <c r="BP122" i="1"/>
  <c r="BT122" i="1"/>
  <c r="BX122" i="1"/>
  <c r="CB122" i="1"/>
  <c r="AB118" i="1"/>
  <c r="AF118" i="1"/>
  <c r="AJ118" i="1"/>
  <c r="AN118" i="1"/>
  <c r="AR118" i="1"/>
  <c r="AV118" i="1"/>
  <c r="AZ118" i="1"/>
  <c r="BD118" i="1"/>
  <c r="BH118" i="1"/>
  <c r="BL118" i="1"/>
  <c r="BP118" i="1"/>
  <c r="BT118" i="1"/>
  <c r="BX118" i="1"/>
  <c r="CB118" i="1"/>
  <c r="AB114" i="1"/>
  <c r="AF114" i="1"/>
  <c r="AJ114" i="1"/>
  <c r="AN114" i="1"/>
  <c r="AR114" i="1"/>
  <c r="AV114" i="1"/>
  <c r="AZ114" i="1"/>
  <c r="BD114" i="1"/>
  <c r="BH114" i="1"/>
  <c r="BL114" i="1"/>
  <c r="BP114" i="1"/>
  <c r="BT114" i="1"/>
  <c r="BX114" i="1"/>
  <c r="CB114" i="1"/>
  <c r="Z109" i="1"/>
  <c r="AD109" i="1"/>
  <c r="AH109" i="1"/>
  <c r="AL109" i="1"/>
  <c r="AP109" i="1"/>
  <c r="AT109" i="1"/>
  <c r="AX109" i="1"/>
  <c r="BB109" i="1"/>
  <c r="BF109" i="1"/>
  <c r="BJ109" i="1"/>
  <c r="BN109" i="1"/>
  <c r="BR109" i="1"/>
  <c r="BV109" i="1"/>
  <c r="BZ109" i="1"/>
  <c r="Z105" i="1"/>
  <c r="AD105" i="1"/>
  <c r="AH105" i="1"/>
  <c r="AL105" i="1"/>
  <c r="AP105" i="1"/>
  <c r="AT105" i="1"/>
  <c r="AX105" i="1"/>
  <c r="BB105" i="1"/>
  <c r="BF105" i="1"/>
  <c r="BJ105" i="1"/>
  <c r="BN105" i="1"/>
  <c r="BR105" i="1"/>
  <c r="BV105" i="1"/>
  <c r="BZ105" i="1"/>
  <c r="Z72" i="1"/>
  <c r="AD72" i="1"/>
  <c r="AH72" i="1"/>
  <c r="AL72" i="1"/>
  <c r="AP72" i="1"/>
  <c r="AT72" i="1"/>
  <c r="AX72" i="1"/>
  <c r="BB72" i="1"/>
  <c r="BF72" i="1"/>
  <c r="BJ72" i="1"/>
  <c r="BN72" i="1"/>
  <c r="BR72" i="1"/>
  <c r="BV72" i="1"/>
  <c r="BZ72" i="1"/>
  <c r="AA9" i="1"/>
  <c r="AI9" i="1"/>
  <c r="AQ9" i="1"/>
  <c r="AY9" i="1"/>
  <c r="BG9" i="1"/>
  <c r="BO9" i="1"/>
  <c r="BW9" i="1"/>
  <c r="AU9" i="1"/>
  <c r="CA9" i="1"/>
  <c r="AM9" i="1"/>
  <c r="BS9" i="1"/>
  <c r="BK9" i="1"/>
  <c r="BC9" i="1"/>
  <c r="AE9" i="1"/>
  <c r="AG9" i="1" s="1"/>
  <c r="CB144" i="1"/>
  <c r="BL144" i="1"/>
  <c r="AV144" i="1"/>
  <c r="CB142" i="1"/>
  <c r="BL142" i="1"/>
  <c r="AV142" i="1"/>
  <c r="CB140" i="1"/>
  <c r="BL140" i="1"/>
  <c r="AV140" i="1"/>
  <c r="CB139" i="1"/>
  <c r="BL139" i="1"/>
  <c r="AV139" i="1"/>
  <c r="CB138" i="1"/>
  <c r="BL138" i="1"/>
  <c r="AV138" i="1"/>
  <c r="CB137" i="1"/>
  <c r="BL137" i="1"/>
  <c r="AV137" i="1"/>
  <c r="CB135" i="1"/>
  <c r="BW135" i="1"/>
  <c r="BL135" i="1"/>
  <c r="BG135" i="1"/>
  <c r="AV135" i="1"/>
  <c r="AQ135" i="1"/>
  <c r="CA134" i="1"/>
  <c r="BS134" i="1"/>
  <c r="BK134" i="1"/>
  <c r="BC134" i="1"/>
  <c r="AU134" i="1"/>
  <c r="AM134" i="1"/>
  <c r="AB134" i="1"/>
  <c r="AF134" i="1"/>
  <c r="AJ134" i="1"/>
  <c r="AN134" i="1"/>
  <c r="AR134" i="1"/>
  <c r="AV134" i="1"/>
  <c r="AZ134" i="1"/>
  <c r="BD134" i="1"/>
  <c r="BH134" i="1"/>
  <c r="BL134" i="1"/>
  <c r="BP134" i="1"/>
  <c r="BT134" i="1"/>
  <c r="BX134" i="1"/>
  <c r="CB134" i="1"/>
  <c r="U134" i="1"/>
  <c r="BV133" i="1"/>
  <c r="BY133" i="1" s="1"/>
  <c r="BN133" i="1"/>
  <c r="BF133" i="1"/>
  <c r="BI133" i="1" s="1"/>
  <c r="AX133" i="1"/>
  <c r="AP133" i="1"/>
  <c r="AS133" i="1" s="1"/>
  <c r="AH133" i="1"/>
  <c r="CA130" i="1"/>
  <c r="BK130" i="1"/>
  <c r="AU130" i="1"/>
  <c r="BW129" i="1"/>
  <c r="BG129" i="1"/>
  <c r="AQ129" i="1"/>
  <c r="AA129" i="1"/>
  <c r="BS128" i="1"/>
  <c r="BC128" i="1"/>
  <c r="AB128" i="1"/>
  <c r="AF128" i="1"/>
  <c r="AJ128" i="1"/>
  <c r="AN128" i="1"/>
  <c r="AR128" i="1"/>
  <c r="AV128" i="1"/>
  <c r="AZ128" i="1"/>
  <c r="BD128" i="1"/>
  <c r="BH128" i="1"/>
  <c r="BL128" i="1"/>
  <c r="BP128" i="1"/>
  <c r="BT128" i="1"/>
  <c r="BX128" i="1"/>
  <c r="CB128" i="1"/>
  <c r="U128" i="1"/>
  <c r="CA126" i="1"/>
  <c r="BK126" i="1"/>
  <c r="AU126" i="1"/>
  <c r="BW125" i="1"/>
  <c r="BG125" i="1"/>
  <c r="AQ125" i="1"/>
  <c r="AA125" i="1"/>
  <c r="BS124" i="1"/>
  <c r="BC124" i="1"/>
  <c r="AB124" i="1"/>
  <c r="AF124" i="1"/>
  <c r="AJ124" i="1"/>
  <c r="AN124" i="1"/>
  <c r="AR124" i="1"/>
  <c r="AV124" i="1"/>
  <c r="AZ124" i="1"/>
  <c r="BD124" i="1"/>
  <c r="BH124" i="1"/>
  <c r="BL124" i="1"/>
  <c r="BP124" i="1"/>
  <c r="BT124" i="1"/>
  <c r="BX124" i="1"/>
  <c r="CB124" i="1"/>
  <c r="U124" i="1"/>
  <c r="CA122" i="1"/>
  <c r="BK122" i="1"/>
  <c r="AU122" i="1"/>
  <c r="BW121" i="1"/>
  <c r="BG121" i="1"/>
  <c r="AQ121" i="1"/>
  <c r="AA121" i="1"/>
  <c r="BS120" i="1"/>
  <c r="BC120" i="1"/>
  <c r="AB120" i="1"/>
  <c r="AF120" i="1"/>
  <c r="AJ120" i="1"/>
  <c r="AN120" i="1"/>
  <c r="AR120" i="1"/>
  <c r="AV120" i="1"/>
  <c r="AZ120" i="1"/>
  <c r="BD120" i="1"/>
  <c r="BH120" i="1"/>
  <c r="BL120" i="1"/>
  <c r="BP120" i="1"/>
  <c r="BT120" i="1"/>
  <c r="BX120" i="1"/>
  <c r="CB120" i="1"/>
  <c r="U120" i="1"/>
  <c r="CA118" i="1"/>
  <c r="BK118" i="1"/>
  <c r="AU118" i="1"/>
  <c r="BW117" i="1"/>
  <c r="BG117" i="1"/>
  <c r="AQ117" i="1"/>
  <c r="AA117" i="1"/>
  <c r="BS116" i="1"/>
  <c r="BC116" i="1"/>
  <c r="AB116" i="1"/>
  <c r="AF116" i="1"/>
  <c r="AJ116" i="1"/>
  <c r="AN116" i="1"/>
  <c r="AR116" i="1"/>
  <c r="AV116" i="1"/>
  <c r="AZ116" i="1"/>
  <c r="BD116" i="1"/>
  <c r="BH116" i="1"/>
  <c r="BL116" i="1"/>
  <c r="BP116" i="1"/>
  <c r="BT116" i="1"/>
  <c r="BX116" i="1"/>
  <c r="CB116" i="1"/>
  <c r="U116" i="1"/>
  <c r="CA114" i="1"/>
  <c r="BK114" i="1"/>
  <c r="AU114" i="1"/>
  <c r="Z73" i="1"/>
  <c r="AD73" i="1"/>
  <c r="AH73" i="1"/>
  <c r="AL73" i="1"/>
  <c r="AP73" i="1"/>
  <c r="AT73" i="1"/>
  <c r="AX73" i="1"/>
  <c r="BB73" i="1"/>
  <c r="BF73" i="1"/>
  <c r="BJ73" i="1"/>
  <c r="BN73" i="1"/>
  <c r="BR73" i="1"/>
  <c r="BV73" i="1"/>
  <c r="BZ73" i="1"/>
  <c r="BC172" i="1"/>
  <c r="AU172" i="1"/>
  <c r="AM172" i="1"/>
  <c r="AQ168" i="1"/>
  <c r="AI168" i="1"/>
  <c r="AQ167" i="1"/>
  <c r="AM167" i="1"/>
  <c r="AY166" i="1"/>
  <c r="AQ166" i="1"/>
  <c r="AI166" i="1"/>
  <c r="AU165" i="1"/>
  <c r="AQ165" i="1"/>
  <c r="AU162" i="1"/>
  <c r="AM162" i="1"/>
  <c r="AM159" i="1"/>
  <c r="AU158" i="1"/>
  <c r="AM158" i="1"/>
  <c r="AI157" i="1"/>
  <c r="AQ156" i="1"/>
  <c r="AI156" i="1"/>
  <c r="AI155" i="1"/>
  <c r="AQ153" i="1"/>
  <c r="AU151" i="1"/>
  <c r="AQ151" i="1"/>
  <c r="AI150" i="1"/>
  <c r="BC149" i="1"/>
  <c r="AU149" i="1"/>
  <c r="AM149" i="1"/>
  <c r="AU148" i="1"/>
  <c r="AM148" i="1"/>
  <c r="BO145" i="1"/>
  <c r="BG145" i="1"/>
  <c r="AY145" i="1"/>
  <c r="AQ145" i="1"/>
  <c r="AM145" i="1"/>
  <c r="CA133" i="1"/>
  <c r="CC133" i="1" s="1"/>
  <c r="BS133" i="1"/>
  <c r="BU133" i="1" s="1"/>
  <c r="BK133" i="1"/>
  <c r="BC133" i="1"/>
  <c r="BE133" i="1" s="1"/>
  <c r="AU133" i="1"/>
  <c r="AM133" i="1"/>
  <c r="AO133" i="1" s="1"/>
  <c r="AB133" i="1"/>
  <c r="AF133" i="1"/>
  <c r="AG133" i="1" s="1"/>
  <c r="AJ133" i="1"/>
  <c r="AN133" i="1"/>
  <c r="AR133" i="1"/>
  <c r="AV133" i="1"/>
  <c r="AW133" i="1" s="1"/>
  <c r="AZ133" i="1"/>
  <c r="BD133" i="1"/>
  <c r="BH133" i="1"/>
  <c r="BL133" i="1"/>
  <c r="BM133" i="1" s="1"/>
  <c r="BP133" i="1"/>
  <c r="BT133" i="1"/>
  <c r="BX133" i="1"/>
  <c r="CB133" i="1"/>
  <c r="BV132" i="1"/>
  <c r="BY132" i="1" s="1"/>
  <c r="BN132" i="1"/>
  <c r="BQ132" i="1" s="1"/>
  <c r="BF132" i="1"/>
  <c r="AX132" i="1"/>
  <c r="BA132" i="1" s="1"/>
  <c r="AP132" i="1"/>
  <c r="AS132" i="1" s="1"/>
  <c r="AH132" i="1"/>
  <c r="AK132" i="1" s="1"/>
  <c r="BS129" i="1"/>
  <c r="BC129" i="1"/>
  <c r="AB129" i="1"/>
  <c r="AF129" i="1"/>
  <c r="AJ129" i="1"/>
  <c r="AN129" i="1"/>
  <c r="AR129" i="1"/>
  <c r="AV129" i="1"/>
  <c r="AZ129" i="1"/>
  <c r="BD129" i="1"/>
  <c r="BH129" i="1"/>
  <c r="BL129" i="1"/>
  <c r="BP129" i="1"/>
  <c r="BT129" i="1"/>
  <c r="BX129" i="1"/>
  <c r="CB129" i="1"/>
  <c r="Z129" i="1"/>
  <c r="AD129" i="1"/>
  <c r="AG129" i="1" s="1"/>
  <c r="AH129" i="1"/>
  <c r="AK129" i="1" s="1"/>
  <c r="AL129" i="1"/>
  <c r="AP129" i="1"/>
  <c r="AT129" i="1"/>
  <c r="AW129" i="1" s="1"/>
  <c r="AX129" i="1"/>
  <c r="BA129" i="1" s="1"/>
  <c r="BB129" i="1"/>
  <c r="BF129" i="1"/>
  <c r="BJ129" i="1"/>
  <c r="BM129" i="1" s="1"/>
  <c r="BN129" i="1"/>
  <c r="BQ129" i="1" s="1"/>
  <c r="BR129" i="1"/>
  <c r="BV129" i="1"/>
  <c r="BZ129" i="1"/>
  <c r="CC129" i="1" s="1"/>
  <c r="BS125" i="1"/>
  <c r="BC125" i="1"/>
  <c r="AB125" i="1"/>
  <c r="AF125" i="1"/>
  <c r="AJ125" i="1"/>
  <c r="AN125" i="1"/>
  <c r="AR125" i="1"/>
  <c r="AV125" i="1"/>
  <c r="AZ125" i="1"/>
  <c r="BD125" i="1"/>
  <c r="BH125" i="1"/>
  <c r="BL125" i="1"/>
  <c r="BP125" i="1"/>
  <c r="BT125" i="1"/>
  <c r="BX125" i="1"/>
  <c r="CB125" i="1"/>
  <c r="Z125" i="1"/>
  <c r="AC125" i="1" s="1"/>
  <c r="AD125" i="1"/>
  <c r="AH125" i="1"/>
  <c r="AL125" i="1"/>
  <c r="AO125" i="1" s="1"/>
  <c r="AP125" i="1"/>
  <c r="AS125" i="1" s="1"/>
  <c r="AT125" i="1"/>
  <c r="AX125" i="1"/>
  <c r="BB125" i="1"/>
  <c r="BE125" i="1" s="1"/>
  <c r="BF125" i="1"/>
  <c r="BJ125" i="1"/>
  <c r="BN125" i="1"/>
  <c r="BR125" i="1"/>
  <c r="BU125" i="1" s="1"/>
  <c r="BV125" i="1"/>
  <c r="BY125" i="1" s="1"/>
  <c r="BZ125" i="1"/>
  <c r="BS121" i="1"/>
  <c r="BC121" i="1"/>
  <c r="AB121" i="1"/>
  <c r="AF121" i="1"/>
  <c r="AJ121" i="1"/>
  <c r="AN121" i="1"/>
  <c r="AR121" i="1"/>
  <c r="AV121" i="1"/>
  <c r="AZ121" i="1"/>
  <c r="BD121" i="1"/>
  <c r="BH121" i="1"/>
  <c r="BL121" i="1"/>
  <c r="BP121" i="1"/>
  <c r="BT121" i="1"/>
  <c r="BX121" i="1"/>
  <c r="CB121" i="1"/>
  <c r="Z121" i="1"/>
  <c r="AD121" i="1"/>
  <c r="AG121" i="1" s="1"/>
  <c r="AH121" i="1"/>
  <c r="AK121" i="1" s="1"/>
  <c r="AL121" i="1"/>
  <c r="AP121" i="1"/>
  <c r="AT121" i="1"/>
  <c r="AW121" i="1" s="1"/>
  <c r="AX121" i="1"/>
  <c r="BA121" i="1" s="1"/>
  <c r="BB121" i="1"/>
  <c r="BF121" i="1"/>
  <c r="BJ121" i="1"/>
  <c r="BM121" i="1" s="1"/>
  <c r="BN121" i="1"/>
  <c r="BQ121" i="1" s="1"/>
  <c r="BR121" i="1"/>
  <c r="BV121" i="1"/>
  <c r="BZ121" i="1"/>
  <c r="CC121" i="1" s="1"/>
  <c r="BS117" i="1"/>
  <c r="BC117" i="1"/>
  <c r="AB117" i="1"/>
  <c r="AF117" i="1"/>
  <c r="AJ117" i="1"/>
  <c r="AN117" i="1"/>
  <c r="AR117" i="1"/>
  <c r="AV117" i="1"/>
  <c r="AZ117" i="1"/>
  <c r="BD117" i="1"/>
  <c r="BH117" i="1"/>
  <c r="BL117" i="1"/>
  <c r="BP117" i="1"/>
  <c r="BT117" i="1"/>
  <c r="BX117" i="1"/>
  <c r="CB117" i="1"/>
  <c r="Z117" i="1"/>
  <c r="AC117" i="1" s="1"/>
  <c r="AD117" i="1"/>
  <c r="AH117" i="1"/>
  <c r="AL117" i="1"/>
  <c r="AO117" i="1" s="1"/>
  <c r="AP117" i="1"/>
  <c r="AS117" i="1" s="1"/>
  <c r="AT117" i="1"/>
  <c r="AX117" i="1"/>
  <c r="BB117" i="1"/>
  <c r="BE117" i="1" s="1"/>
  <c r="BF117" i="1"/>
  <c r="BJ117" i="1"/>
  <c r="BN117" i="1"/>
  <c r="BR117" i="1"/>
  <c r="BU117" i="1" s="1"/>
  <c r="BV117" i="1"/>
  <c r="BY117" i="1" s="1"/>
  <c r="BZ117" i="1"/>
  <c r="Z113" i="1"/>
  <c r="AD113" i="1"/>
  <c r="AH113" i="1"/>
  <c r="AL113" i="1"/>
  <c r="AP113" i="1"/>
  <c r="AX113" i="1"/>
  <c r="BB113" i="1"/>
  <c r="BF113" i="1"/>
  <c r="BJ113" i="1"/>
  <c r="BN113" i="1"/>
  <c r="BR113" i="1"/>
  <c r="BV113" i="1"/>
  <c r="BZ113" i="1"/>
  <c r="M111" i="1"/>
  <c r="V111" i="1"/>
  <c r="Q111" i="1"/>
  <c r="X111" i="1" s="1"/>
  <c r="M107" i="1"/>
  <c r="V107" i="1"/>
  <c r="Q107" i="1"/>
  <c r="X107" i="1" s="1"/>
  <c r="M103" i="1"/>
  <c r="V103" i="1"/>
  <c r="Q103" i="1"/>
  <c r="X103" i="1" s="1"/>
  <c r="M99" i="1"/>
  <c r="V99" i="1"/>
  <c r="Q99" i="1"/>
  <c r="X99" i="1" s="1"/>
  <c r="Z97" i="1"/>
  <c r="AD97" i="1"/>
  <c r="AH97" i="1"/>
  <c r="AL97" i="1"/>
  <c r="AP97" i="1"/>
  <c r="AT97" i="1"/>
  <c r="AX97" i="1"/>
  <c r="BB97" i="1"/>
  <c r="BF97" i="1"/>
  <c r="BJ97" i="1"/>
  <c r="BN97" i="1"/>
  <c r="BR97" i="1"/>
  <c r="BV97" i="1"/>
  <c r="BZ97" i="1"/>
  <c r="Z92" i="1"/>
  <c r="AD92" i="1"/>
  <c r="AH92" i="1"/>
  <c r="AL92" i="1"/>
  <c r="AP92" i="1"/>
  <c r="AT92" i="1"/>
  <c r="AX92" i="1"/>
  <c r="BB92" i="1"/>
  <c r="BF92" i="1"/>
  <c r="BJ92" i="1"/>
  <c r="BN92" i="1"/>
  <c r="BR92" i="1"/>
  <c r="BV92" i="1"/>
  <c r="BZ92" i="1"/>
  <c r="M91" i="1"/>
  <c r="V91" i="1"/>
  <c r="Q91" i="1"/>
  <c r="X91" i="1" s="1"/>
  <c r="Z89" i="1"/>
  <c r="AD89" i="1"/>
  <c r="AH89" i="1"/>
  <c r="AL89" i="1"/>
  <c r="AP89" i="1"/>
  <c r="AT89" i="1"/>
  <c r="AX89" i="1"/>
  <c r="BB89" i="1"/>
  <c r="BF89" i="1"/>
  <c r="BJ89" i="1"/>
  <c r="BN89" i="1"/>
  <c r="BR89" i="1"/>
  <c r="BV89" i="1"/>
  <c r="BZ89" i="1"/>
  <c r="Z80" i="1"/>
  <c r="AD80" i="1"/>
  <c r="AH80" i="1"/>
  <c r="AL80" i="1"/>
  <c r="AP80" i="1"/>
  <c r="AT80" i="1"/>
  <c r="AX80" i="1"/>
  <c r="BB80" i="1"/>
  <c r="BF80" i="1"/>
  <c r="BJ80" i="1"/>
  <c r="BN80" i="1"/>
  <c r="BR80" i="1"/>
  <c r="BV80" i="1"/>
  <c r="BZ80" i="1"/>
  <c r="Z78" i="1"/>
  <c r="AD78" i="1"/>
  <c r="AH78" i="1"/>
  <c r="AL78" i="1"/>
  <c r="AP78" i="1"/>
  <c r="AT78" i="1"/>
  <c r="AX78" i="1"/>
  <c r="BB78" i="1"/>
  <c r="BF78" i="1"/>
  <c r="BJ78" i="1"/>
  <c r="BN78" i="1"/>
  <c r="BR78" i="1"/>
  <c r="BV78" i="1"/>
  <c r="BZ78" i="1"/>
  <c r="Z54" i="1"/>
  <c r="AD54" i="1"/>
  <c r="AH54" i="1"/>
  <c r="AL54" i="1"/>
  <c r="AP54" i="1"/>
  <c r="AT54" i="1"/>
  <c r="AX54" i="1"/>
  <c r="BB54" i="1"/>
  <c r="BF54" i="1"/>
  <c r="BJ54" i="1"/>
  <c r="BN54" i="1"/>
  <c r="BR54" i="1"/>
  <c r="BV54" i="1"/>
  <c r="BZ54" i="1"/>
  <c r="M50" i="1"/>
  <c r="R50" i="1" s="1"/>
  <c r="V50" i="1"/>
  <c r="W50" i="1" s="1"/>
  <c r="Q50" i="1"/>
  <c r="X50" i="1" s="1"/>
  <c r="S50" i="1"/>
  <c r="T50" i="1"/>
  <c r="U50" i="1" s="1"/>
  <c r="Z112" i="1"/>
  <c r="AD112" i="1"/>
  <c r="AH112" i="1"/>
  <c r="AL112" i="1"/>
  <c r="AP112" i="1"/>
  <c r="AT112" i="1"/>
  <c r="AX112" i="1"/>
  <c r="BB112" i="1"/>
  <c r="BF112" i="1"/>
  <c r="BJ112" i="1"/>
  <c r="BN112" i="1"/>
  <c r="BR112" i="1"/>
  <c r="BV112" i="1"/>
  <c r="BZ112" i="1"/>
  <c r="M112" i="1"/>
  <c r="V112" i="1"/>
  <c r="Z108" i="1"/>
  <c r="AD108" i="1"/>
  <c r="AH108" i="1"/>
  <c r="AL108" i="1"/>
  <c r="AP108" i="1"/>
  <c r="AT108" i="1"/>
  <c r="AX108" i="1"/>
  <c r="BB108" i="1"/>
  <c r="BF108" i="1"/>
  <c r="BJ108" i="1"/>
  <c r="BN108" i="1"/>
  <c r="BR108" i="1"/>
  <c r="BV108" i="1"/>
  <c r="BZ108" i="1"/>
  <c r="M108" i="1"/>
  <c r="V108" i="1"/>
  <c r="Z104" i="1"/>
  <c r="AD104" i="1"/>
  <c r="AH104" i="1"/>
  <c r="AL104" i="1"/>
  <c r="AP104" i="1"/>
  <c r="AT104" i="1"/>
  <c r="AX104" i="1"/>
  <c r="BB104" i="1"/>
  <c r="BF104" i="1"/>
  <c r="BJ104" i="1"/>
  <c r="BN104" i="1"/>
  <c r="BR104" i="1"/>
  <c r="BV104" i="1"/>
  <c r="BZ104" i="1"/>
  <c r="M104" i="1"/>
  <c r="V104" i="1"/>
  <c r="Z100" i="1"/>
  <c r="AD100" i="1"/>
  <c r="AH100" i="1"/>
  <c r="AL100" i="1"/>
  <c r="AP100" i="1"/>
  <c r="AT100" i="1"/>
  <c r="AX100" i="1"/>
  <c r="BB100" i="1"/>
  <c r="BF100" i="1"/>
  <c r="BJ100" i="1"/>
  <c r="BN100" i="1"/>
  <c r="BR100" i="1"/>
  <c r="BV100" i="1"/>
  <c r="BZ100" i="1"/>
  <c r="M100" i="1"/>
  <c r="V100" i="1"/>
  <c r="T98" i="1"/>
  <c r="U98" i="1" s="1"/>
  <c r="M96" i="1"/>
  <c r="V96" i="1"/>
  <c r="T94" i="1"/>
  <c r="U94" i="1" s="1"/>
  <c r="M92" i="1"/>
  <c r="V92" i="1"/>
  <c r="T90" i="1"/>
  <c r="U90" i="1" s="1"/>
  <c r="M88" i="1"/>
  <c r="V88" i="1"/>
  <c r="M84" i="1"/>
  <c r="V84" i="1"/>
  <c r="Q84" i="1"/>
  <c r="X84" i="1" s="1"/>
  <c r="W79" i="1"/>
  <c r="M76" i="1"/>
  <c r="R76" i="1" s="1"/>
  <c r="Y76" i="1" s="1"/>
  <c r="V76" i="1"/>
  <c r="Q76" i="1"/>
  <c r="X76" i="1" s="1"/>
  <c r="W71" i="1"/>
  <c r="M66" i="1"/>
  <c r="V66" i="1"/>
  <c r="Q66" i="1"/>
  <c r="X66" i="1" s="1"/>
  <c r="S66" i="1"/>
  <c r="T66" i="1"/>
  <c r="U66" i="1" s="1"/>
  <c r="Z51" i="1"/>
  <c r="AD51" i="1"/>
  <c r="AH51" i="1"/>
  <c r="AL51" i="1"/>
  <c r="AP51" i="1"/>
  <c r="AT51" i="1"/>
  <c r="AX51" i="1"/>
  <c r="BB51" i="1"/>
  <c r="BF51" i="1"/>
  <c r="BJ51" i="1"/>
  <c r="BN51" i="1"/>
  <c r="BR51" i="1"/>
  <c r="BV51" i="1"/>
  <c r="BZ51" i="1"/>
  <c r="Z29" i="1"/>
  <c r="AD29" i="1"/>
  <c r="AH29" i="1"/>
  <c r="AL29" i="1"/>
  <c r="AP29" i="1"/>
  <c r="AT29" i="1"/>
  <c r="AX29" i="1"/>
  <c r="BB29" i="1"/>
  <c r="BF29" i="1"/>
  <c r="BJ29" i="1"/>
  <c r="BN29" i="1"/>
  <c r="BR29" i="1"/>
  <c r="BV29" i="1"/>
  <c r="BZ29" i="1"/>
  <c r="M113" i="1"/>
  <c r="V113" i="1"/>
  <c r="Q112" i="1"/>
  <c r="X112" i="1" s="1"/>
  <c r="T111" i="1"/>
  <c r="U111" i="1" s="1"/>
  <c r="M109" i="1"/>
  <c r="V109" i="1"/>
  <c r="Q108" i="1"/>
  <c r="X108" i="1" s="1"/>
  <c r="T107" i="1"/>
  <c r="U107" i="1" s="1"/>
  <c r="M105" i="1"/>
  <c r="V105" i="1"/>
  <c r="Q104" i="1"/>
  <c r="X104" i="1" s="1"/>
  <c r="T103" i="1"/>
  <c r="U103" i="1" s="1"/>
  <c r="M101" i="1"/>
  <c r="V101" i="1"/>
  <c r="Q100" i="1"/>
  <c r="X100" i="1" s="1"/>
  <c r="T99" i="1"/>
  <c r="U99" i="1" s="1"/>
  <c r="M97" i="1"/>
  <c r="V97" i="1"/>
  <c r="Q96" i="1"/>
  <c r="X96" i="1" s="1"/>
  <c r="T95" i="1"/>
  <c r="U95" i="1" s="1"/>
  <c r="M93" i="1"/>
  <c r="V93" i="1"/>
  <c r="Q92" i="1"/>
  <c r="X92" i="1" s="1"/>
  <c r="T91" i="1"/>
  <c r="U91" i="1" s="1"/>
  <c r="M89" i="1"/>
  <c r="V89" i="1"/>
  <c r="Q88" i="1"/>
  <c r="X88" i="1" s="1"/>
  <c r="T87" i="1"/>
  <c r="U87" i="1" s="1"/>
  <c r="Z85" i="1"/>
  <c r="AD85" i="1"/>
  <c r="AH85" i="1"/>
  <c r="AL85" i="1"/>
  <c r="AP85" i="1"/>
  <c r="AT85" i="1"/>
  <c r="AX85" i="1"/>
  <c r="BB85" i="1"/>
  <c r="BF85" i="1"/>
  <c r="BJ85" i="1"/>
  <c r="BN85" i="1"/>
  <c r="BR85" i="1"/>
  <c r="BV85" i="1"/>
  <c r="BZ85" i="1"/>
  <c r="T84" i="1"/>
  <c r="U84" i="1" s="1"/>
  <c r="Z82" i="1"/>
  <c r="AD82" i="1"/>
  <c r="AH82" i="1"/>
  <c r="AL82" i="1"/>
  <c r="AP82" i="1"/>
  <c r="AT82" i="1"/>
  <c r="AX82" i="1"/>
  <c r="BB82" i="1"/>
  <c r="BF82" i="1"/>
  <c r="BJ82" i="1"/>
  <c r="BN82" i="1"/>
  <c r="BR82" i="1"/>
  <c r="BV82" i="1"/>
  <c r="BZ82" i="1"/>
  <c r="Z77" i="1"/>
  <c r="AD77" i="1"/>
  <c r="AH77" i="1"/>
  <c r="AL77" i="1"/>
  <c r="AP77" i="1"/>
  <c r="AT77" i="1"/>
  <c r="AX77" i="1"/>
  <c r="BB77" i="1"/>
  <c r="BF77" i="1"/>
  <c r="BJ77" i="1"/>
  <c r="BN77" i="1"/>
  <c r="BR77" i="1"/>
  <c r="BV77" i="1"/>
  <c r="BZ77" i="1"/>
  <c r="T76" i="1"/>
  <c r="U76" i="1" s="1"/>
  <c r="Z74" i="1"/>
  <c r="AD74" i="1"/>
  <c r="AH74" i="1"/>
  <c r="AL74" i="1"/>
  <c r="AP74" i="1"/>
  <c r="AT74" i="1"/>
  <c r="AX74" i="1"/>
  <c r="BB74" i="1"/>
  <c r="BF74" i="1"/>
  <c r="BJ74" i="1"/>
  <c r="BN74" i="1"/>
  <c r="BR74" i="1"/>
  <c r="BV74" i="1"/>
  <c r="BZ74" i="1"/>
  <c r="Z52" i="1"/>
  <c r="AD52" i="1"/>
  <c r="AH52" i="1"/>
  <c r="AL52" i="1"/>
  <c r="AP52" i="1"/>
  <c r="AT52" i="1"/>
  <c r="AX52" i="1"/>
  <c r="BB52" i="1"/>
  <c r="BF52" i="1"/>
  <c r="BJ52" i="1"/>
  <c r="BN52" i="1"/>
  <c r="BR52" i="1"/>
  <c r="BV52" i="1"/>
  <c r="BZ52" i="1"/>
  <c r="Z110" i="1"/>
  <c r="AD110" i="1"/>
  <c r="AH110" i="1"/>
  <c r="AL110" i="1"/>
  <c r="AP110" i="1"/>
  <c r="AT110" i="1"/>
  <c r="AX110" i="1"/>
  <c r="BB110" i="1"/>
  <c r="BF110" i="1"/>
  <c r="BJ110" i="1"/>
  <c r="BN110" i="1"/>
  <c r="BR110" i="1"/>
  <c r="BV110" i="1"/>
  <c r="BZ110" i="1"/>
  <c r="M110" i="1"/>
  <c r="V110" i="1"/>
  <c r="Z106" i="1"/>
  <c r="AD106" i="1"/>
  <c r="AH106" i="1"/>
  <c r="AL106" i="1"/>
  <c r="AP106" i="1"/>
  <c r="AT106" i="1"/>
  <c r="AX106" i="1"/>
  <c r="BB106" i="1"/>
  <c r="BF106" i="1"/>
  <c r="BJ106" i="1"/>
  <c r="BN106" i="1"/>
  <c r="BR106" i="1"/>
  <c r="BV106" i="1"/>
  <c r="BZ106" i="1"/>
  <c r="M106" i="1"/>
  <c r="V106" i="1"/>
  <c r="Z102" i="1"/>
  <c r="AD102" i="1"/>
  <c r="AH102" i="1"/>
  <c r="AL102" i="1"/>
  <c r="AP102" i="1"/>
  <c r="AT102" i="1"/>
  <c r="AX102" i="1"/>
  <c r="BB102" i="1"/>
  <c r="BF102" i="1"/>
  <c r="BJ102" i="1"/>
  <c r="BN102" i="1"/>
  <c r="BR102" i="1"/>
  <c r="BV102" i="1"/>
  <c r="BZ102" i="1"/>
  <c r="M102" i="1"/>
  <c r="V102" i="1"/>
  <c r="M98" i="1"/>
  <c r="V98" i="1"/>
  <c r="M94" i="1"/>
  <c r="V94" i="1"/>
  <c r="M90" i="1"/>
  <c r="V90" i="1"/>
  <c r="Z86" i="1"/>
  <c r="AD86" i="1"/>
  <c r="AH86" i="1"/>
  <c r="AL86" i="1"/>
  <c r="AP86" i="1"/>
  <c r="AT86" i="1"/>
  <c r="AX86" i="1"/>
  <c r="BB86" i="1"/>
  <c r="BF86" i="1"/>
  <c r="BJ86" i="1"/>
  <c r="BN86" i="1"/>
  <c r="BR86" i="1"/>
  <c r="BV86" i="1"/>
  <c r="BZ86" i="1"/>
  <c r="M80" i="1"/>
  <c r="V80" i="1"/>
  <c r="Q80" i="1"/>
  <c r="X80" i="1" s="1"/>
  <c r="M72" i="1"/>
  <c r="R72" i="1" s="1"/>
  <c r="Y72" i="1" s="1"/>
  <c r="V72" i="1"/>
  <c r="Q72" i="1"/>
  <c r="X72" i="1" s="1"/>
  <c r="M70" i="1"/>
  <c r="R70" i="1" s="1"/>
  <c r="V70" i="1"/>
  <c r="W70" i="1" s="1"/>
  <c r="Q70" i="1"/>
  <c r="X70" i="1" s="1"/>
  <c r="S70" i="1"/>
  <c r="T70" i="1"/>
  <c r="U70" i="1" s="1"/>
  <c r="W69" i="1"/>
  <c r="M62" i="1"/>
  <c r="V62" i="1"/>
  <c r="Q62" i="1"/>
  <c r="X62" i="1" s="1"/>
  <c r="S62" i="1"/>
  <c r="T62" i="1"/>
  <c r="U62" i="1" s="1"/>
  <c r="Z53" i="1"/>
  <c r="AD53" i="1"/>
  <c r="AH53" i="1"/>
  <c r="AL53" i="1"/>
  <c r="AP53" i="1"/>
  <c r="AT53" i="1"/>
  <c r="AX53" i="1"/>
  <c r="BB53" i="1"/>
  <c r="BF53" i="1"/>
  <c r="BJ53" i="1"/>
  <c r="BN53" i="1"/>
  <c r="BR53" i="1"/>
  <c r="BV53" i="1"/>
  <c r="BZ53" i="1"/>
  <c r="M85" i="1"/>
  <c r="R85" i="1" s="1"/>
  <c r="Y85" i="1" s="1"/>
  <c r="V85" i="1"/>
  <c r="M81" i="1"/>
  <c r="R81" i="1" s="1"/>
  <c r="Y81" i="1" s="1"/>
  <c r="V81" i="1"/>
  <c r="M77" i="1"/>
  <c r="R77" i="1" s="1"/>
  <c r="Y77" i="1" s="1"/>
  <c r="V77" i="1"/>
  <c r="W77" i="1" s="1"/>
  <c r="M73" i="1"/>
  <c r="R73" i="1" s="1"/>
  <c r="Y73" i="1" s="1"/>
  <c r="V73" i="1"/>
  <c r="M67" i="1"/>
  <c r="R67" i="1" s="1"/>
  <c r="Y67" i="1" s="1"/>
  <c r="V67" i="1"/>
  <c r="S67" i="1"/>
  <c r="T67" i="1"/>
  <c r="U67" i="1" s="1"/>
  <c r="M63" i="1"/>
  <c r="R63" i="1" s="1"/>
  <c r="Y63" i="1" s="1"/>
  <c r="V63" i="1"/>
  <c r="W63" i="1" s="1"/>
  <c r="S63" i="1"/>
  <c r="T63" i="1"/>
  <c r="U63" i="1" s="1"/>
  <c r="M59" i="1"/>
  <c r="R59" i="1" s="1"/>
  <c r="Y59" i="1" s="1"/>
  <c r="V59" i="1"/>
  <c r="W59" i="1" s="1"/>
  <c r="S59" i="1"/>
  <c r="T59" i="1"/>
  <c r="U59" i="1" s="1"/>
  <c r="M56" i="1"/>
  <c r="V56" i="1"/>
  <c r="Q56" i="1"/>
  <c r="X56" i="1" s="1"/>
  <c r="Z56" i="1"/>
  <c r="AD56" i="1"/>
  <c r="AH56" i="1"/>
  <c r="AL56" i="1"/>
  <c r="AP56" i="1"/>
  <c r="AT56" i="1"/>
  <c r="AX56" i="1"/>
  <c r="BB56" i="1"/>
  <c r="BF56" i="1"/>
  <c r="BJ56" i="1"/>
  <c r="BN56" i="1"/>
  <c r="BR56" i="1"/>
  <c r="BV56" i="1"/>
  <c r="BZ56" i="1"/>
  <c r="BU46" i="1"/>
  <c r="Z83" i="1"/>
  <c r="AD83" i="1"/>
  <c r="AH83" i="1"/>
  <c r="AL83" i="1"/>
  <c r="AP83" i="1"/>
  <c r="AT83" i="1"/>
  <c r="AX83" i="1"/>
  <c r="BB83" i="1"/>
  <c r="BF83" i="1"/>
  <c r="BJ83" i="1"/>
  <c r="BN83" i="1"/>
  <c r="BR83" i="1"/>
  <c r="BV83" i="1"/>
  <c r="BZ83" i="1"/>
  <c r="M82" i="1"/>
  <c r="R82" i="1" s="1"/>
  <c r="V82" i="1"/>
  <c r="W82" i="1" s="1"/>
  <c r="W81" i="1"/>
  <c r="Z79" i="1"/>
  <c r="AD79" i="1"/>
  <c r="AH79" i="1"/>
  <c r="AL79" i="1"/>
  <c r="AP79" i="1"/>
  <c r="AT79" i="1"/>
  <c r="AX79" i="1"/>
  <c r="BB79" i="1"/>
  <c r="BF79" i="1"/>
  <c r="BJ79" i="1"/>
  <c r="BN79" i="1"/>
  <c r="BR79" i="1"/>
  <c r="BV79" i="1"/>
  <c r="BZ79" i="1"/>
  <c r="M78" i="1"/>
  <c r="V78" i="1"/>
  <c r="Z75" i="1"/>
  <c r="AD75" i="1"/>
  <c r="AH75" i="1"/>
  <c r="AL75" i="1"/>
  <c r="AP75" i="1"/>
  <c r="AT75" i="1"/>
  <c r="AX75" i="1"/>
  <c r="BB75" i="1"/>
  <c r="BF75" i="1"/>
  <c r="BJ75" i="1"/>
  <c r="BN75" i="1"/>
  <c r="BR75" i="1"/>
  <c r="BV75" i="1"/>
  <c r="BZ75" i="1"/>
  <c r="M74" i="1"/>
  <c r="V74" i="1"/>
  <c r="W73" i="1"/>
  <c r="Z71" i="1"/>
  <c r="AD71" i="1"/>
  <c r="AH71" i="1"/>
  <c r="AL71" i="1"/>
  <c r="AP71" i="1"/>
  <c r="AT71" i="1"/>
  <c r="AX71" i="1"/>
  <c r="BB71" i="1"/>
  <c r="BF71" i="1"/>
  <c r="BJ71" i="1"/>
  <c r="BN71" i="1"/>
  <c r="BR71" i="1"/>
  <c r="BV71" i="1"/>
  <c r="BZ71" i="1"/>
  <c r="M68" i="1"/>
  <c r="R68" i="1" s="1"/>
  <c r="Y68" i="1" s="1"/>
  <c r="V68" i="1"/>
  <c r="S68" i="1"/>
  <c r="T68" i="1"/>
  <c r="U68" i="1" s="1"/>
  <c r="W67" i="1"/>
  <c r="M64" i="1"/>
  <c r="R64" i="1" s="1"/>
  <c r="V64" i="1"/>
  <c r="W64" i="1" s="1"/>
  <c r="S64" i="1"/>
  <c r="T64" i="1"/>
  <c r="U64" i="1" s="1"/>
  <c r="M60" i="1"/>
  <c r="V60" i="1"/>
  <c r="S60" i="1"/>
  <c r="T60" i="1"/>
  <c r="U60" i="1" s="1"/>
  <c r="M52" i="1"/>
  <c r="V52" i="1"/>
  <c r="Q52" i="1"/>
  <c r="X52" i="1" s="1"/>
  <c r="AI48" i="1"/>
  <c r="AY48" i="1"/>
  <c r="BO48" i="1"/>
  <c r="AE48" i="1"/>
  <c r="AU48" i="1"/>
  <c r="BK48" i="1"/>
  <c r="CA48" i="1"/>
  <c r="BC48" i="1"/>
  <c r="BE48" i="1" s="1"/>
  <c r="AA48" i="1"/>
  <c r="BG48" i="1"/>
  <c r="AM48" i="1"/>
  <c r="BS48" i="1"/>
  <c r="AN48" i="1"/>
  <c r="BD48" i="1"/>
  <c r="BT48" i="1"/>
  <c r="AJ48" i="1"/>
  <c r="AZ48" i="1"/>
  <c r="BP48" i="1"/>
  <c r="AR48" i="1"/>
  <c r="BX48" i="1"/>
  <c r="AV48" i="1"/>
  <c r="CB48" i="1"/>
  <c r="AB48" i="1"/>
  <c r="BH48" i="1"/>
  <c r="AD48" i="1"/>
  <c r="AG48" i="1" s="1"/>
  <c r="AT48" i="1"/>
  <c r="BJ48" i="1"/>
  <c r="BM48" i="1" s="1"/>
  <c r="BZ48" i="1"/>
  <c r="CC48" i="1" s="1"/>
  <c r="Z48" i="1"/>
  <c r="AC48" i="1" s="1"/>
  <c r="AP48" i="1"/>
  <c r="BF48" i="1"/>
  <c r="BV48" i="1"/>
  <c r="BY48" i="1" s="1"/>
  <c r="AH48" i="1"/>
  <c r="AK48" i="1" s="1"/>
  <c r="BN48" i="1"/>
  <c r="BQ48" i="1" s="1"/>
  <c r="AL48" i="1"/>
  <c r="BR48" i="1"/>
  <c r="BU48" i="1" s="1"/>
  <c r="AX48" i="1"/>
  <c r="BA48" i="1" s="1"/>
  <c r="M36" i="1"/>
  <c r="V36" i="1"/>
  <c r="Q36" i="1"/>
  <c r="X36" i="1" s="1"/>
  <c r="S36" i="1"/>
  <c r="T36" i="1"/>
  <c r="U36" i="1" s="1"/>
  <c r="V86" i="1"/>
  <c r="W86" i="1" s="1"/>
  <c r="Q86" i="1"/>
  <c r="X86" i="1" s="1"/>
  <c r="Y86" i="1" s="1"/>
  <c r="M83" i="1"/>
  <c r="R83" i="1" s="1"/>
  <c r="Y83" i="1" s="1"/>
  <c r="V83" i="1"/>
  <c r="Q82" i="1"/>
  <c r="X82" i="1" s="1"/>
  <c r="M79" i="1"/>
  <c r="R79" i="1" s="1"/>
  <c r="Y79" i="1" s="1"/>
  <c r="V79" i="1"/>
  <c r="Q78" i="1"/>
  <c r="X78" i="1" s="1"/>
  <c r="M75" i="1"/>
  <c r="R75" i="1" s="1"/>
  <c r="Y75" i="1" s="1"/>
  <c r="V75" i="1"/>
  <c r="Q74" i="1"/>
  <c r="X74" i="1" s="1"/>
  <c r="M71" i="1"/>
  <c r="R71" i="1" s="1"/>
  <c r="Y71" i="1" s="1"/>
  <c r="V71" i="1"/>
  <c r="M69" i="1"/>
  <c r="R69" i="1" s="1"/>
  <c r="Y69" i="1" s="1"/>
  <c r="V69" i="1"/>
  <c r="S69" i="1"/>
  <c r="T69" i="1"/>
  <c r="U69" i="1" s="1"/>
  <c r="Q68" i="1"/>
  <c r="X68" i="1" s="1"/>
  <c r="W68" i="1"/>
  <c r="M65" i="1"/>
  <c r="R65" i="1" s="1"/>
  <c r="Y65" i="1" s="1"/>
  <c r="V65" i="1"/>
  <c r="S65" i="1"/>
  <c r="T65" i="1"/>
  <c r="U65" i="1" s="1"/>
  <c r="Q64" i="1"/>
  <c r="X64" i="1" s="1"/>
  <c r="M61" i="1"/>
  <c r="V61" i="1"/>
  <c r="S61" i="1"/>
  <c r="T61" i="1"/>
  <c r="U61" i="1" s="1"/>
  <c r="Q60" i="1"/>
  <c r="X60" i="1" s="1"/>
  <c r="Z57" i="1"/>
  <c r="AD57" i="1"/>
  <c r="AH57" i="1"/>
  <c r="AL57" i="1"/>
  <c r="AP57" i="1"/>
  <c r="AT57" i="1"/>
  <c r="AX57" i="1"/>
  <c r="BB57" i="1"/>
  <c r="BF57" i="1"/>
  <c r="BJ57" i="1"/>
  <c r="BN57" i="1"/>
  <c r="BR57" i="1"/>
  <c r="BV57" i="1"/>
  <c r="BZ57" i="1"/>
  <c r="Z55" i="1"/>
  <c r="AD55" i="1"/>
  <c r="AH55" i="1"/>
  <c r="AL55" i="1"/>
  <c r="AP55" i="1"/>
  <c r="AT55" i="1"/>
  <c r="AX55" i="1"/>
  <c r="BB55" i="1"/>
  <c r="BF55" i="1"/>
  <c r="BJ55" i="1"/>
  <c r="BN55" i="1"/>
  <c r="BR55" i="1"/>
  <c r="BV55" i="1"/>
  <c r="BZ55" i="1"/>
  <c r="AQ48" i="1"/>
  <c r="M57" i="1"/>
  <c r="V57" i="1"/>
  <c r="M53" i="1"/>
  <c r="V53" i="1"/>
  <c r="AE49" i="1"/>
  <c r="AI49" i="1"/>
  <c r="AM49" i="1"/>
  <c r="AQ49" i="1"/>
  <c r="AU49" i="1"/>
  <c r="AY49" i="1"/>
  <c r="BC49" i="1"/>
  <c r="BG49" i="1"/>
  <c r="BK49" i="1"/>
  <c r="BO49" i="1"/>
  <c r="BS49" i="1"/>
  <c r="BW49" i="1"/>
  <c r="CA49" i="1"/>
  <c r="AD49" i="1"/>
  <c r="AG49" i="1" s="1"/>
  <c r="AH49" i="1"/>
  <c r="AL49" i="1"/>
  <c r="AP49" i="1"/>
  <c r="AT49" i="1"/>
  <c r="AW49" i="1" s="1"/>
  <c r="AX49" i="1"/>
  <c r="BB49" i="1"/>
  <c r="BF49" i="1"/>
  <c r="BJ49" i="1"/>
  <c r="BM49" i="1" s="1"/>
  <c r="BN49" i="1"/>
  <c r="BR49" i="1"/>
  <c r="BV49" i="1"/>
  <c r="BZ49" i="1"/>
  <c r="CC49" i="1" s="1"/>
  <c r="Z49" i="1"/>
  <c r="AI45" i="1"/>
  <c r="AY45" i="1"/>
  <c r="BO45" i="1"/>
  <c r="BQ45" i="1" s="1"/>
  <c r="AE45" i="1"/>
  <c r="AU45" i="1"/>
  <c r="BK45" i="1"/>
  <c r="CA45" i="1"/>
  <c r="AN45" i="1"/>
  <c r="BD45" i="1"/>
  <c r="BE45" i="1" s="1"/>
  <c r="BT45" i="1"/>
  <c r="AJ45" i="1"/>
  <c r="AK45" i="1" s="1"/>
  <c r="AZ45" i="1"/>
  <c r="BP45" i="1"/>
  <c r="AG45" i="1"/>
  <c r="AM43" i="1"/>
  <c r="BC43" i="1"/>
  <c r="BS43" i="1"/>
  <c r="AI43" i="1"/>
  <c r="AY43" i="1"/>
  <c r="BO43" i="1"/>
  <c r="AE43" i="1"/>
  <c r="AU43" i="1"/>
  <c r="BK43" i="1"/>
  <c r="CA43" i="1"/>
  <c r="Z39" i="1"/>
  <c r="AD39" i="1"/>
  <c r="AH39" i="1"/>
  <c r="AL39" i="1"/>
  <c r="AP39" i="1"/>
  <c r="AT39" i="1"/>
  <c r="AX39" i="1"/>
  <c r="BB39" i="1"/>
  <c r="BF39" i="1"/>
  <c r="BJ39" i="1"/>
  <c r="BN39" i="1"/>
  <c r="BR39" i="1"/>
  <c r="BV39" i="1"/>
  <c r="BZ39" i="1"/>
  <c r="M31" i="1"/>
  <c r="R31" i="1" s="1"/>
  <c r="Y31" i="1" s="1"/>
  <c r="V31" i="1"/>
  <c r="Q31" i="1"/>
  <c r="X31" i="1" s="1"/>
  <c r="T31" i="1"/>
  <c r="U31" i="1" s="1"/>
  <c r="S31" i="1"/>
  <c r="BI18" i="1"/>
  <c r="BQ17" i="1"/>
  <c r="M58" i="1"/>
  <c r="V58" i="1"/>
  <c r="Q57" i="1"/>
  <c r="X57" i="1" s="1"/>
  <c r="M54" i="1"/>
  <c r="V54" i="1"/>
  <c r="Q53" i="1"/>
  <c r="X53" i="1" s="1"/>
  <c r="AB49" i="1"/>
  <c r="AK47" i="1"/>
  <c r="BE46" i="1"/>
  <c r="AI46" i="1"/>
  <c r="AY46" i="1"/>
  <c r="BO46" i="1"/>
  <c r="BQ46" i="1" s="1"/>
  <c r="AE46" i="1"/>
  <c r="AU46" i="1"/>
  <c r="BK46" i="1"/>
  <c r="CA46" i="1"/>
  <c r="AN46" i="1"/>
  <c r="BD46" i="1"/>
  <c r="BT46" i="1"/>
  <c r="AJ46" i="1"/>
  <c r="AK46" i="1" s="1"/>
  <c r="AZ46" i="1"/>
  <c r="BP46" i="1"/>
  <c r="AD46" i="1"/>
  <c r="AT46" i="1"/>
  <c r="AW46" i="1" s="1"/>
  <c r="BJ46" i="1"/>
  <c r="BM46" i="1" s="1"/>
  <c r="BZ46" i="1"/>
  <c r="Z46" i="1"/>
  <c r="AP46" i="1"/>
  <c r="AS46" i="1" s="1"/>
  <c r="BF46" i="1"/>
  <c r="BV46" i="1"/>
  <c r="BY46" i="1" s="1"/>
  <c r="BS45" i="1"/>
  <c r="BH45" i="1"/>
  <c r="BA45" i="1"/>
  <c r="AM45" i="1"/>
  <c r="AB45" i="1"/>
  <c r="BU44" i="1"/>
  <c r="AO44" i="1"/>
  <c r="Z40" i="1"/>
  <c r="AD40" i="1"/>
  <c r="AH40" i="1"/>
  <c r="AL40" i="1"/>
  <c r="AP40" i="1"/>
  <c r="AT40" i="1"/>
  <c r="AX40" i="1"/>
  <c r="BB40" i="1"/>
  <c r="BF40" i="1"/>
  <c r="BJ40" i="1"/>
  <c r="BN40" i="1"/>
  <c r="BR40" i="1"/>
  <c r="BV40" i="1"/>
  <c r="BZ40" i="1"/>
  <c r="W38" i="1"/>
  <c r="W37" i="1"/>
  <c r="M55" i="1"/>
  <c r="V55" i="1"/>
  <c r="M51" i="1"/>
  <c r="V51" i="1"/>
  <c r="BX49" i="1"/>
  <c r="BP49" i="1"/>
  <c r="BH49" i="1"/>
  <c r="AZ49" i="1"/>
  <c r="AR49" i="1"/>
  <c r="AA49" i="1"/>
  <c r="BE47" i="1"/>
  <c r="AI47" i="1"/>
  <c r="AY47" i="1"/>
  <c r="BO47" i="1"/>
  <c r="BQ47" i="1" s="1"/>
  <c r="AE47" i="1"/>
  <c r="AU47" i="1"/>
  <c r="BK47" i="1"/>
  <c r="CA47" i="1"/>
  <c r="AN47" i="1"/>
  <c r="AO47" i="1" s="1"/>
  <c r="BD47" i="1"/>
  <c r="BT47" i="1"/>
  <c r="BU47" i="1" s="1"/>
  <c r="AJ47" i="1"/>
  <c r="AZ47" i="1"/>
  <c r="BP47" i="1"/>
  <c r="AD47" i="1"/>
  <c r="AT47" i="1"/>
  <c r="AW47" i="1" s="1"/>
  <c r="BJ47" i="1"/>
  <c r="BM47" i="1" s="1"/>
  <c r="BZ47" i="1"/>
  <c r="Z47" i="1"/>
  <c r="AC47" i="1" s="1"/>
  <c r="AP47" i="1"/>
  <c r="AS47" i="1" s="1"/>
  <c r="BF47" i="1"/>
  <c r="BI47" i="1" s="1"/>
  <c r="BV47" i="1"/>
  <c r="BY47" i="1" s="1"/>
  <c r="BS46" i="1"/>
  <c r="BH46" i="1"/>
  <c r="AX46" i="1"/>
  <c r="BA46" i="1" s="1"/>
  <c r="AM46" i="1"/>
  <c r="AO46" i="1" s="1"/>
  <c r="AB46" i="1"/>
  <c r="CB45" i="1"/>
  <c r="BU45" i="1"/>
  <c r="BG45" i="1"/>
  <c r="AV45" i="1"/>
  <c r="AO45" i="1"/>
  <c r="AA45" i="1"/>
  <c r="BW43" i="1"/>
  <c r="BG43" i="1"/>
  <c r="AQ43" i="1"/>
  <c r="AA43" i="1"/>
  <c r="Z41" i="1"/>
  <c r="AD41" i="1"/>
  <c r="AH41" i="1"/>
  <c r="AL41" i="1"/>
  <c r="AP41" i="1"/>
  <c r="AT41" i="1"/>
  <c r="AX41" i="1"/>
  <c r="BB41" i="1"/>
  <c r="BF41" i="1"/>
  <c r="BJ41" i="1"/>
  <c r="BN41" i="1"/>
  <c r="BR41" i="1"/>
  <c r="BV41" i="1"/>
  <c r="BZ41" i="1"/>
  <c r="Z38" i="1"/>
  <c r="AD38" i="1"/>
  <c r="AH38" i="1"/>
  <c r="AL38" i="1"/>
  <c r="AP38" i="1"/>
  <c r="AT38" i="1"/>
  <c r="AX38" i="1"/>
  <c r="BB38" i="1"/>
  <c r="BF38" i="1"/>
  <c r="BJ38" i="1"/>
  <c r="BN38" i="1"/>
  <c r="BR38" i="1"/>
  <c r="BV38" i="1"/>
  <c r="BZ38" i="1"/>
  <c r="Z37" i="1"/>
  <c r="AD37" i="1"/>
  <c r="AH37" i="1"/>
  <c r="AL37" i="1"/>
  <c r="AP37" i="1"/>
  <c r="AT37" i="1"/>
  <c r="AX37" i="1"/>
  <c r="BB37" i="1"/>
  <c r="BF37" i="1"/>
  <c r="BJ37" i="1"/>
  <c r="BN37" i="1"/>
  <c r="BR37" i="1"/>
  <c r="BV37" i="1"/>
  <c r="BZ37" i="1"/>
  <c r="BV45" i="1"/>
  <c r="BY45" i="1" s="1"/>
  <c r="BF45" i="1"/>
  <c r="AP45" i="1"/>
  <c r="AS45" i="1" s="1"/>
  <c r="Z45" i="1"/>
  <c r="CA44" i="1"/>
  <c r="BV44" i="1"/>
  <c r="BY44" i="1" s="1"/>
  <c r="BP44" i="1"/>
  <c r="BQ44" i="1" s="1"/>
  <c r="BK44" i="1"/>
  <c r="BF44" i="1"/>
  <c r="BI44" i="1" s="1"/>
  <c r="AZ44" i="1"/>
  <c r="AU44" i="1"/>
  <c r="AP44" i="1"/>
  <c r="AS44" i="1" s="1"/>
  <c r="AJ44" i="1"/>
  <c r="AE44" i="1"/>
  <c r="AG44" i="1" s="1"/>
  <c r="Z44" i="1"/>
  <c r="AC44" i="1" s="1"/>
  <c r="BP43" i="1"/>
  <c r="AZ43" i="1"/>
  <c r="AJ43" i="1"/>
  <c r="BY42" i="1"/>
  <c r="BK42" i="1"/>
  <c r="BM42" i="1" s="1"/>
  <c r="BI42" i="1"/>
  <c r="AZ42" i="1"/>
  <c r="AU42" i="1"/>
  <c r="AW42" i="1" s="1"/>
  <c r="AS42" i="1"/>
  <c r="AJ42" i="1"/>
  <c r="AE42" i="1"/>
  <c r="AG42" i="1" s="1"/>
  <c r="Z42" i="1"/>
  <c r="AC42" i="1" s="1"/>
  <c r="M39" i="1"/>
  <c r="R39" i="1" s="1"/>
  <c r="Y39" i="1" s="1"/>
  <c r="V39" i="1"/>
  <c r="M35" i="1"/>
  <c r="R35" i="1" s="1"/>
  <c r="Y35" i="1" s="1"/>
  <c r="V35" i="1"/>
  <c r="Z35" i="1"/>
  <c r="AD35" i="1"/>
  <c r="AH35" i="1"/>
  <c r="AL35" i="1"/>
  <c r="AP35" i="1"/>
  <c r="AT35" i="1"/>
  <c r="AX35" i="1"/>
  <c r="BB35" i="1"/>
  <c r="BF35" i="1"/>
  <c r="BJ35" i="1"/>
  <c r="BN35" i="1"/>
  <c r="BR35" i="1"/>
  <c r="BV35" i="1"/>
  <c r="BZ35" i="1"/>
  <c r="Z34" i="1"/>
  <c r="AD34" i="1"/>
  <c r="AH34" i="1"/>
  <c r="AL34" i="1"/>
  <c r="AP34" i="1"/>
  <c r="AT34" i="1"/>
  <c r="AX34" i="1"/>
  <c r="BB34" i="1"/>
  <c r="BF34" i="1"/>
  <c r="BJ34" i="1"/>
  <c r="BN34" i="1"/>
  <c r="BR34" i="1"/>
  <c r="BV34" i="1"/>
  <c r="BZ34" i="1"/>
  <c r="Z32" i="1"/>
  <c r="AD32" i="1"/>
  <c r="AH32" i="1"/>
  <c r="AL32" i="1"/>
  <c r="AP32" i="1"/>
  <c r="AT32" i="1"/>
  <c r="AX32" i="1"/>
  <c r="BB32" i="1"/>
  <c r="BF32" i="1"/>
  <c r="BJ32" i="1"/>
  <c r="BN32" i="1"/>
  <c r="BR32" i="1"/>
  <c r="BV32" i="1"/>
  <c r="BZ32" i="1"/>
  <c r="W31" i="1"/>
  <c r="BS28" i="1"/>
  <c r="AI28" i="1"/>
  <c r="BC28" i="1"/>
  <c r="BO28" i="1"/>
  <c r="AA28" i="1"/>
  <c r="AU28" i="1"/>
  <c r="BG28" i="1"/>
  <c r="BW28" i="1"/>
  <c r="AM28" i="1"/>
  <c r="AY28" i="1"/>
  <c r="AF28" i="1"/>
  <c r="AN28" i="1"/>
  <c r="AV28" i="1"/>
  <c r="BD28" i="1"/>
  <c r="BL28" i="1"/>
  <c r="BX28" i="1"/>
  <c r="AR28" i="1"/>
  <c r="CB28" i="1"/>
  <c r="AJ28" i="1"/>
  <c r="BP28" i="1"/>
  <c r="AB28" i="1"/>
  <c r="BH28" i="1"/>
  <c r="Z28" i="1"/>
  <c r="AD28" i="1"/>
  <c r="AH28" i="1"/>
  <c r="AL28" i="1"/>
  <c r="AO28" i="1" s="1"/>
  <c r="AP28" i="1"/>
  <c r="AT28" i="1"/>
  <c r="AX28" i="1"/>
  <c r="BB28" i="1"/>
  <c r="BE28" i="1" s="1"/>
  <c r="BF28" i="1"/>
  <c r="BJ28" i="1"/>
  <c r="BM28" i="1" s="1"/>
  <c r="BN28" i="1"/>
  <c r="BQ28" i="1" s="1"/>
  <c r="BR28" i="1"/>
  <c r="BU28" i="1" s="1"/>
  <c r="BV28" i="1"/>
  <c r="BY28" i="1" s="1"/>
  <c r="BZ28" i="1"/>
  <c r="M27" i="1"/>
  <c r="Q27" i="1"/>
  <c r="X27" i="1" s="1"/>
  <c r="S27" i="1"/>
  <c r="T27" i="1"/>
  <c r="AL22" i="1"/>
  <c r="BB22" i="1"/>
  <c r="BF22" i="1"/>
  <c r="BJ22" i="1"/>
  <c r="BN22" i="1"/>
  <c r="BR22" i="1"/>
  <c r="BV22" i="1"/>
  <c r="BZ22" i="1"/>
  <c r="AH22" i="1"/>
  <c r="AX22" i="1"/>
  <c r="AD22" i="1"/>
  <c r="AP22" i="1"/>
  <c r="Z22" i="1"/>
  <c r="AT22" i="1"/>
  <c r="AA20" i="1"/>
  <c r="AQ20" i="1"/>
  <c r="BG20" i="1"/>
  <c r="BW20" i="1"/>
  <c r="AM20" i="1"/>
  <c r="BC20" i="1"/>
  <c r="BS20" i="1"/>
  <c r="AY20" i="1"/>
  <c r="AE20" i="1"/>
  <c r="BK20" i="1"/>
  <c r="CA20" i="1"/>
  <c r="CC20" i="1" s="1"/>
  <c r="AI20" i="1"/>
  <c r="BO20" i="1"/>
  <c r="BZ45" i="1"/>
  <c r="BJ45" i="1"/>
  <c r="AT45" i="1"/>
  <c r="AW45" i="1" s="1"/>
  <c r="BZ44" i="1"/>
  <c r="CC44" i="1" s="1"/>
  <c r="BT44" i="1"/>
  <c r="BO44" i="1"/>
  <c r="BJ44" i="1"/>
  <c r="BD44" i="1"/>
  <c r="BE44" i="1" s="1"/>
  <c r="AY44" i="1"/>
  <c r="BA44" i="1" s="1"/>
  <c r="AT44" i="1"/>
  <c r="BT43" i="1"/>
  <c r="BD43" i="1"/>
  <c r="CC42" i="1"/>
  <c r="BO42" i="1"/>
  <c r="BD42" i="1"/>
  <c r="BE42" i="1" s="1"/>
  <c r="AY42" i="1"/>
  <c r="M40" i="1"/>
  <c r="V40" i="1"/>
  <c r="Q40" i="1"/>
  <c r="X40" i="1" s="1"/>
  <c r="M38" i="1"/>
  <c r="R38" i="1" s="1"/>
  <c r="Y38" i="1" s="1"/>
  <c r="V38" i="1"/>
  <c r="Q35" i="1"/>
  <c r="X35" i="1" s="1"/>
  <c r="W35" i="1"/>
  <c r="CA28" i="1"/>
  <c r="AQ28" i="1"/>
  <c r="V27" i="1"/>
  <c r="AU20" i="1"/>
  <c r="AK44" i="1"/>
  <c r="U43" i="1"/>
  <c r="BQ42" i="1"/>
  <c r="BA42" i="1"/>
  <c r="AK42" i="1"/>
  <c r="Z33" i="1"/>
  <c r="AD33" i="1"/>
  <c r="AH33" i="1"/>
  <c r="AL33" i="1"/>
  <c r="AP33" i="1"/>
  <c r="AT33" i="1"/>
  <c r="AX33" i="1"/>
  <c r="BB33" i="1"/>
  <c r="BF33" i="1"/>
  <c r="BJ33" i="1"/>
  <c r="BN33" i="1"/>
  <c r="BR33" i="1"/>
  <c r="BV33" i="1"/>
  <c r="BZ33" i="1"/>
  <c r="Z30" i="1"/>
  <c r="AD30" i="1"/>
  <c r="AH30" i="1"/>
  <c r="AL30" i="1"/>
  <c r="AP30" i="1"/>
  <c r="AT30" i="1"/>
  <c r="AX30" i="1"/>
  <c r="BB30" i="1"/>
  <c r="BF30" i="1"/>
  <c r="BJ30" i="1"/>
  <c r="BN30" i="1"/>
  <c r="BR30" i="1"/>
  <c r="BV30" i="1"/>
  <c r="BZ30" i="1"/>
  <c r="BT28" i="1"/>
  <c r="AE28" i="1"/>
  <c r="AA13" i="1"/>
  <c r="AM13" i="1"/>
  <c r="BC13" i="1"/>
  <c r="BS13" i="1"/>
  <c r="AI13" i="1"/>
  <c r="AY13" i="1"/>
  <c r="BO13" i="1"/>
  <c r="BG13" i="1"/>
  <c r="AE13" i="1"/>
  <c r="BK13" i="1"/>
  <c r="BW13" i="1"/>
  <c r="CA13" i="1"/>
  <c r="AU13" i="1"/>
  <c r="AQ13" i="1"/>
  <c r="M32" i="1"/>
  <c r="V32" i="1"/>
  <c r="Q32" i="1"/>
  <c r="X32" i="1" s="1"/>
  <c r="AJ26" i="1"/>
  <c r="AZ26" i="1"/>
  <c r="BP26" i="1"/>
  <c r="AF26" i="1"/>
  <c r="AV26" i="1"/>
  <c r="BL26" i="1"/>
  <c r="CB26" i="1"/>
  <c r="AN26" i="1"/>
  <c r="BT26" i="1"/>
  <c r="S26" i="1"/>
  <c r="T26" i="1"/>
  <c r="U26" i="1" s="1"/>
  <c r="AS18" i="1"/>
  <c r="AB13" i="1"/>
  <c r="AR13" i="1"/>
  <c r="BH13" i="1"/>
  <c r="BX13" i="1"/>
  <c r="AN13" i="1"/>
  <c r="BD13" i="1"/>
  <c r="BT13" i="1"/>
  <c r="AV13" i="1"/>
  <c r="CB13" i="1"/>
  <c r="AZ13" i="1"/>
  <c r="AF13" i="1"/>
  <c r="AJ13" i="1"/>
  <c r="AW9" i="1"/>
  <c r="BX26" i="1"/>
  <c r="BH26" i="1"/>
  <c r="Q26" i="1"/>
  <c r="X26" i="1" s="1"/>
  <c r="AJ25" i="1"/>
  <c r="AZ25" i="1"/>
  <c r="BP25" i="1"/>
  <c r="AF25" i="1"/>
  <c r="AV25" i="1"/>
  <c r="BL25" i="1"/>
  <c r="CB25" i="1"/>
  <c r="AN25" i="1"/>
  <c r="BT25" i="1"/>
  <c r="S25" i="1"/>
  <c r="T25" i="1"/>
  <c r="U25" i="1" s="1"/>
  <c r="R22" i="1"/>
  <c r="Y22" i="1" s="1"/>
  <c r="W22" i="1"/>
  <c r="AL21" i="1"/>
  <c r="BB21" i="1"/>
  <c r="BR21" i="1"/>
  <c r="AH21" i="1"/>
  <c r="AX21" i="1"/>
  <c r="BN21" i="1"/>
  <c r="AD21" i="1"/>
  <c r="BJ21" i="1"/>
  <c r="AP21" i="1"/>
  <c r="BV21" i="1"/>
  <c r="BZ21" i="1"/>
  <c r="BY18" i="1"/>
  <c r="AB18" i="1"/>
  <c r="AC18" i="1" s="1"/>
  <c r="AF18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AA18" i="1"/>
  <c r="AI18" i="1"/>
  <c r="AQ18" i="1"/>
  <c r="AY18" i="1"/>
  <c r="BG18" i="1"/>
  <c r="BO18" i="1"/>
  <c r="BW18" i="1"/>
  <c r="AE18" i="1"/>
  <c r="AU18" i="1"/>
  <c r="BK18" i="1"/>
  <c r="CA18" i="1"/>
  <c r="BC18" i="1"/>
  <c r="AD18" i="1"/>
  <c r="AG18" i="1" s="1"/>
  <c r="AL18" i="1"/>
  <c r="AO18" i="1" s="1"/>
  <c r="AT18" i="1"/>
  <c r="AW18" i="1" s="1"/>
  <c r="BB18" i="1"/>
  <c r="BJ18" i="1"/>
  <c r="BR18" i="1"/>
  <c r="BU18" i="1" s="1"/>
  <c r="BZ18" i="1"/>
  <c r="CC18" i="1" s="1"/>
  <c r="AH18" i="1"/>
  <c r="AX18" i="1"/>
  <c r="BA18" i="1" s="1"/>
  <c r="BN18" i="1"/>
  <c r="BQ18" i="1" s="1"/>
  <c r="BL13" i="1"/>
  <c r="V12" i="1"/>
  <c r="M12" i="1"/>
  <c r="Q12" i="1"/>
  <c r="X12" i="1" s="1"/>
  <c r="M34" i="1"/>
  <c r="V34" i="1"/>
  <c r="M30" i="1"/>
  <c r="R30" i="1" s="1"/>
  <c r="Y30" i="1" s="1"/>
  <c r="V30" i="1"/>
  <c r="BD26" i="1"/>
  <c r="AR26" i="1"/>
  <c r="AB26" i="1"/>
  <c r="Y24" i="1"/>
  <c r="S24" i="1"/>
  <c r="T24" i="1"/>
  <c r="U24" i="1" s="1"/>
  <c r="AB20" i="1"/>
  <c r="AC20" i="1" s="1"/>
  <c r="AF20" i="1"/>
  <c r="AJ20" i="1"/>
  <c r="AN20" i="1"/>
  <c r="AR20" i="1"/>
  <c r="AV20" i="1"/>
  <c r="AW20" i="1" s="1"/>
  <c r="AZ20" i="1"/>
  <c r="BD20" i="1"/>
  <c r="BH20" i="1"/>
  <c r="BL20" i="1"/>
  <c r="BP20" i="1"/>
  <c r="BT20" i="1"/>
  <c r="BX20" i="1"/>
  <c r="CB20" i="1"/>
  <c r="AL20" i="1"/>
  <c r="BB20" i="1"/>
  <c r="BE20" i="1" s="1"/>
  <c r="BR20" i="1"/>
  <c r="BU20" i="1" s="1"/>
  <c r="AH20" i="1"/>
  <c r="AK20" i="1" s="1"/>
  <c r="AX20" i="1"/>
  <c r="BA20" i="1" s="1"/>
  <c r="BN20" i="1"/>
  <c r="BQ20" i="1" s="1"/>
  <c r="AD20" i="1"/>
  <c r="AG20" i="1" s="1"/>
  <c r="BJ20" i="1"/>
  <c r="AP20" i="1"/>
  <c r="BV20" i="1"/>
  <c r="BF20" i="1"/>
  <c r="BI20" i="1" s="1"/>
  <c r="BS18" i="1"/>
  <c r="AA17" i="1"/>
  <c r="AI17" i="1"/>
  <c r="AQ17" i="1"/>
  <c r="AY17" i="1"/>
  <c r="BA17" i="1" s="1"/>
  <c r="BG17" i="1"/>
  <c r="BO17" i="1"/>
  <c r="BW17" i="1"/>
  <c r="AM17" i="1"/>
  <c r="BC17" i="1"/>
  <c r="BS17" i="1"/>
  <c r="CA17" i="1"/>
  <c r="AA16" i="1"/>
  <c r="AC16" i="1" s="1"/>
  <c r="AI16" i="1"/>
  <c r="AQ16" i="1"/>
  <c r="AS16" i="1" s="1"/>
  <c r="AY16" i="1"/>
  <c r="BG16" i="1"/>
  <c r="BI16" i="1" s="1"/>
  <c r="BO16" i="1"/>
  <c r="BW16" i="1"/>
  <c r="BY16" i="1" s="1"/>
  <c r="AE16" i="1"/>
  <c r="AU16" i="1"/>
  <c r="BK16" i="1"/>
  <c r="CA16" i="1"/>
  <c r="Z15" i="1"/>
  <c r="AD15" i="1"/>
  <c r="AH15" i="1"/>
  <c r="AL15" i="1"/>
  <c r="AP15" i="1"/>
  <c r="AT15" i="1"/>
  <c r="AX15" i="1"/>
  <c r="BB15" i="1"/>
  <c r="BJ15" i="1"/>
  <c r="BR15" i="1"/>
  <c r="BZ15" i="1"/>
  <c r="BF15" i="1"/>
  <c r="BV15" i="1"/>
  <c r="U13" i="1"/>
  <c r="BA11" i="1"/>
  <c r="AB11" i="1"/>
  <c r="AF11" i="1"/>
  <c r="AJ11" i="1"/>
  <c r="AN11" i="1"/>
  <c r="AR11" i="1"/>
  <c r="AV11" i="1"/>
  <c r="AZ11" i="1"/>
  <c r="BD11" i="1"/>
  <c r="BH11" i="1"/>
  <c r="BL11" i="1"/>
  <c r="BP11" i="1"/>
  <c r="BT11" i="1"/>
  <c r="BX11" i="1"/>
  <c r="CB11" i="1"/>
  <c r="AA11" i="1"/>
  <c r="AI11" i="1"/>
  <c r="AQ11" i="1"/>
  <c r="AY11" i="1"/>
  <c r="BG11" i="1"/>
  <c r="BO11" i="1"/>
  <c r="BW11" i="1"/>
  <c r="AE11" i="1"/>
  <c r="BK11" i="1"/>
  <c r="BC11" i="1"/>
  <c r="AM11" i="1"/>
  <c r="AU11" i="1"/>
  <c r="BS11" i="1"/>
  <c r="AP11" i="1"/>
  <c r="AS11" i="1" s="1"/>
  <c r="BB11" i="1"/>
  <c r="BV11" i="1"/>
  <c r="BY11" i="1" s="1"/>
  <c r="AH11" i="1"/>
  <c r="AT11" i="1"/>
  <c r="AW11" i="1" s="1"/>
  <c r="BN11" i="1"/>
  <c r="BZ11" i="1"/>
  <c r="CC11" i="1" s="1"/>
  <c r="BJ11" i="1"/>
  <c r="BM11" i="1" s="1"/>
  <c r="Z11" i="1"/>
  <c r="AC11" i="1" s="1"/>
  <c r="BR11" i="1"/>
  <c r="BF11" i="1"/>
  <c r="AD11" i="1"/>
  <c r="AG11" i="1" s="1"/>
  <c r="M41" i="1"/>
  <c r="V41" i="1"/>
  <c r="M37" i="1"/>
  <c r="R37" i="1" s="1"/>
  <c r="Y37" i="1" s="1"/>
  <c r="V37" i="1"/>
  <c r="M33" i="1"/>
  <c r="V33" i="1"/>
  <c r="M29" i="1"/>
  <c r="V29" i="1"/>
  <c r="U27" i="1"/>
  <c r="Z23" i="1"/>
  <c r="AD23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M23" i="1"/>
  <c r="R23" i="1" s="1"/>
  <c r="Y23" i="1" s="1"/>
  <c r="V23" i="1"/>
  <c r="R21" i="1"/>
  <c r="Y21" i="1" s="1"/>
  <c r="W21" i="1"/>
  <c r="AA19" i="1"/>
  <c r="AI19" i="1"/>
  <c r="AK19" i="1" s="1"/>
  <c r="AQ19" i="1"/>
  <c r="AY19" i="1"/>
  <c r="BG19" i="1"/>
  <c r="BO19" i="1"/>
  <c r="BW19" i="1"/>
  <c r="BY19" i="1" s="1"/>
  <c r="AM19" i="1"/>
  <c r="BC19" i="1"/>
  <c r="BS19" i="1"/>
  <c r="AK17" i="1"/>
  <c r="AB16" i="1"/>
  <c r="AF16" i="1"/>
  <c r="AJ16" i="1"/>
  <c r="AN16" i="1"/>
  <c r="AR16" i="1"/>
  <c r="AV16" i="1"/>
  <c r="AZ16" i="1"/>
  <c r="BD16" i="1"/>
  <c r="BH16" i="1"/>
  <c r="BL16" i="1"/>
  <c r="BP16" i="1"/>
  <c r="BT16" i="1"/>
  <c r="BX16" i="1"/>
  <c r="CB16" i="1"/>
  <c r="AD16" i="1"/>
  <c r="AL16" i="1"/>
  <c r="AO16" i="1" s="1"/>
  <c r="AT16" i="1"/>
  <c r="BB16" i="1"/>
  <c r="BE16" i="1" s="1"/>
  <c r="BJ16" i="1"/>
  <c r="BR16" i="1"/>
  <c r="BU16" i="1" s="1"/>
  <c r="BZ16" i="1"/>
  <c r="AH16" i="1"/>
  <c r="AX16" i="1"/>
  <c r="BA16" i="1" s="1"/>
  <c r="BN16" i="1"/>
  <c r="Z14" i="1"/>
  <c r="AD14" i="1"/>
  <c r="AH14" i="1"/>
  <c r="AL14" i="1"/>
  <c r="AP14" i="1"/>
  <c r="AT14" i="1"/>
  <c r="AX14" i="1"/>
  <c r="BB14" i="1"/>
  <c r="BF14" i="1"/>
  <c r="BJ14" i="1"/>
  <c r="BN14" i="1"/>
  <c r="BR14" i="1"/>
  <c r="BV14" i="1"/>
  <c r="BZ14" i="1"/>
  <c r="AL11" i="1"/>
  <c r="W26" i="1"/>
  <c r="W25" i="1"/>
  <c r="W24" i="1"/>
  <c r="BI19" i="1"/>
  <c r="AS19" i="1"/>
  <c r="AB19" i="1"/>
  <c r="AC19" i="1" s="1"/>
  <c r="AF19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AD19" i="1"/>
  <c r="AG19" i="1" s="1"/>
  <c r="AL19" i="1"/>
  <c r="AO19" i="1" s="1"/>
  <c r="AT19" i="1"/>
  <c r="BB19" i="1"/>
  <c r="BE19" i="1" s="1"/>
  <c r="BJ19" i="1"/>
  <c r="BM19" i="1" s="1"/>
  <c r="BR19" i="1"/>
  <c r="BZ19" i="1"/>
  <c r="AB17" i="1"/>
  <c r="AF17" i="1"/>
  <c r="AJ17" i="1"/>
  <c r="AN17" i="1"/>
  <c r="AR17" i="1"/>
  <c r="AS17" i="1" s="1"/>
  <c r="AV17" i="1"/>
  <c r="AZ17" i="1"/>
  <c r="BD17" i="1"/>
  <c r="BH17" i="1"/>
  <c r="BI17" i="1" s="1"/>
  <c r="BL17" i="1"/>
  <c r="BP17" i="1"/>
  <c r="BT17" i="1"/>
  <c r="BX17" i="1"/>
  <c r="BY17" i="1" s="1"/>
  <c r="CB17" i="1"/>
  <c r="AD17" i="1"/>
  <c r="AL17" i="1"/>
  <c r="AT17" i="1"/>
  <c r="AW17" i="1" s="1"/>
  <c r="BB17" i="1"/>
  <c r="BJ17" i="1"/>
  <c r="BR17" i="1"/>
  <c r="BU17" i="1" s="1"/>
  <c r="BZ17" i="1"/>
  <c r="CC17" i="1" s="1"/>
  <c r="AA10" i="1"/>
  <c r="AI10" i="1"/>
  <c r="AQ10" i="1"/>
  <c r="AY10" i="1"/>
  <c r="BG10" i="1"/>
  <c r="BO10" i="1"/>
  <c r="BW10" i="1"/>
  <c r="BC10" i="1"/>
  <c r="AU10" i="1"/>
  <c r="CA10" i="1"/>
  <c r="BK10" i="1"/>
  <c r="AM10" i="1"/>
  <c r="W15" i="1"/>
  <c r="AE10" i="1"/>
  <c r="M15" i="1"/>
  <c r="R15" i="1" s="1"/>
  <c r="Y15" i="1" s="1"/>
  <c r="V15" i="1"/>
  <c r="AA8" i="1"/>
  <c r="AI8" i="1"/>
  <c r="AQ8" i="1"/>
  <c r="AY8" i="1"/>
  <c r="BG8" i="1"/>
  <c r="BO8" i="1"/>
  <c r="BW8" i="1"/>
  <c r="AM8" i="1"/>
  <c r="BC8" i="1"/>
  <c r="BS8" i="1"/>
  <c r="AB8" i="1"/>
  <c r="AF8" i="1"/>
  <c r="AG8" i="1" s="1"/>
  <c r="AJ8" i="1"/>
  <c r="AN8" i="1"/>
  <c r="AR8" i="1"/>
  <c r="AV8" i="1"/>
  <c r="AW8" i="1" s="1"/>
  <c r="AZ8" i="1"/>
  <c r="BD8" i="1"/>
  <c r="BH8" i="1"/>
  <c r="BL8" i="1"/>
  <c r="BM8" i="1" s="1"/>
  <c r="BP8" i="1"/>
  <c r="BT8" i="1"/>
  <c r="BX8" i="1"/>
  <c r="CB8" i="1"/>
  <c r="CC8" i="1" s="1"/>
  <c r="Z8" i="1"/>
  <c r="AH8" i="1"/>
  <c r="AP8" i="1"/>
  <c r="AS8" i="1" s="1"/>
  <c r="AX8" i="1"/>
  <c r="BA8" i="1" s="1"/>
  <c r="BF8" i="1"/>
  <c r="BN8" i="1"/>
  <c r="BV8" i="1"/>
  <c r="BY8" i="1" s="1"/>
  <c r="M14" i="1"/>
  <c r="V14" i="1"/>
  <c r="BR8" i="1"/>
  <c r="BU8" i="1" s="1"/>
  <c r="BB8" i="1"/>
  <c r="BE8" i="1" s="1"/>
  <c r="AL8" i="1"/>
  <c r="T13" i="1"/>
  <c r="T12" i="1"/>
  <c r="U12" i="1" s="1"/>
  <c r="Y10" i="1"/>
  <c r="BI9" i="1"/>
  <c r="AC9" i="1"/>
  <c r="AB9" i="1"/>
  <c r="AF9" i="1"/>
  <c r="AJ9" i="1"/>
  <c r="AK9" i="1" s="1"/>
  <c r="AN9" i="1"/>
  <c r="AR9" i="1"/>
  <c r="AS9" i="1" s="1"/>
  <c r="AV9" i="1"/>
  <c r="AZ9" i="1"/>
  <c r="BA9" i="1" s="1"/>
  <c r="BD9" i="1"/>
  <c r="BE9" i="1" s="1"/>
  <c r="BH9" i="1"/>
  <c r="BL9" i="1"/>
  <c r="BM9" i="1" s="1"/>
  <c r="BP9" i="1"/>
  <c r="BQ9" i="1" s="1"/>
  <c r="BT9" i="1"/>
  <c r="BU9" i="1" s="1"/>
  <c r="BX9" i="1"/>
  <c r="BY9" i="1" s="1"/>
  <c r="CB9" i="1"/>
  <c r="CC9" i="1" s="1"/>
  <c r="AA59" i="1" l="1"/>
  <c r="AE59" i="1"/>
  <c r="AI59" i="1"/>
  <c r="AM59" i="1"/>
  <c r="AQ59" i="1"/>
  <c r="AU59" i="1"/>
  <c r="AY59" i="1"/>
  <c r="BC59" i="1"/>
  <c r="BG59" i="1"/>
  <c r="BK59" i="1"/>
  <c r="BO59" i="1"/>
  <c r="BS59" i="1"/>
  <c r="BW59" i="1"/>
  <c r="CA59" i="1"/>
  <c r="AA64" i="1"/>
  <c r="AE64" i="1"/>
  <c r="AI64" i="1"/>
  <c r="AM64" i="1"/>
  <c r="AQ64" i="1"/>
  <c r="AU64" i="1"/>
  <c r="AY64" i="1"/>
  <c r="BC64" i="1"/>
  <c r="BG64" i="1"/>
  <c r="BK64" i="1"/>
  <c r="BO64" i="1"/>
  <c r="BS64" i="1"/>
  <c r="BW64" i="1"/>
  <c r="CA64" i="1"/>
  <c r="AA70" i="1"/>
  <c r="AE70" i="1"/>
  <c r="AI70" i="1"/>
  <c r="AM70" i="1"/>
  <c r="AQ70" i="1"/>
  <c r="AU70" i="1"/>
  <c r="AY70" i="1"/>
  <c r="BC70" i="1"/>
  <c r="BG70" i="1"/>
  <c r="BK70" i="1"/>
  <c r="BO70" i="1"/>
  <c r="BS70" i="1"/>
  <c r="BW70" i="1"/>
  <c r="CA70" i="1"/>
  <c r="AD12" i="1"/>
  <c r="AT12" i="1"/>
  <c r="BJ12" i="1"/>
  <c r="BZ12" i="1"/>
  <c r="AH12" i="1"/>
  <c r="AP12" i="1"/>
  <c r="BR12" i="1"/>
  <c r="AX12" i="1"/>
  <c r="BF12" i="1"/>
  <c r="AL12" i="1"/>
  <c r="BN12" i="1"/>
  <c r="BV12" i="1"/>
  <c r="Z12" i="1"/>
  <c r="BB12" i="1"/>
  <c r="R14" i="1"/>
  <c r="Y14" i="1" s="1"/>
  <c r="W14" i="1"/>
  <c r="AB21" i="1"/>
  <c r="AF21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R51" i="1"/>
  <c r="Y51" i="1" s="1"/>
  <c r="W51" i="1"/>
  <c r="R52" i="1"/>
  <c r="Y52" i="1" s="1"/>
  <c r="W52" i="1"/>
  <c r="AF72" i="1"/>
  <c r="AN72" i="1"/>
  <c r="AV72" i="1"/>
  <c r="BD72" i="1"/>
  <c r="BL72" i="1"/>
  <c r="BT72" i="1"/>
  <c r="CB72" i="1"/>
  <c r="AB72" i="1"/>
  <c r="BH72" i="1"/>
  <c r="AJ72" i="1"/>
  <c r="BP72" i="1"/>
  <c r="AR72" i="1"/>
  <c r="BX72" i="1"/>
  <c r="AZ72" i="1"/>
  <c r="R84" i="1"/>
  <c r="Y84" i="1" s="1"/>
  <c r="W84" i="1"/>
  <c r="AD27" i="1"/>
  <c r="AT27" i="1"/>
  <c r="Z27" i="1"/>
  <c r="AP27" i="1"/>
  <c r="BF27" i="1"/>
  <c r="BJ27" i="1"/>
  <c r="BN27" i="1"/>
  <c r="BR27" i="1"/>
  <c r="BV27" i="1"/>
  <c r="BZ27" i="1"/>
  <c r="AX27" i="1"/>
  <c r="AL27" i="1"/>
  <c r="BB27" i="1"/>
  <c r="AH27" i="1"/>
  <c r="BY20" i="1"/>
  <c r="AC45" i="1"/>
  <c r="R61" i="1"/>
  <c r="Y61" i="1" s="1"/>
  <c r="W61" i="1"/>
  <c r="R60" i="1"/>
  <c r="Y60" i="1" s="1"/>
  <c r="W60" i="1"/>
  <c r="R56" i="1"/>
  <c r="Y56" i="1" s="1"/>
  <c r="W56" i="1"/>
  <c r="R106" i="1"/>
  <c r="Y106" i="1" s="1"/>
  <c r="W106" i="1"/>
  <c r="R110" i="1"/>
  <c r="Y110" i="1" s="1"/>
  <c r="W110" i="1"/>
  <c r="Z84" i="1"/>
  <c r="AD84" i="1"/>
  <c r="AH84" i="1"/>
  <c r="AL84" i="1"/>
  <c r="AP84" i="1"/>
  <c r="AT84" i="1"/>
  <c r="AX84" i="1"/>
  <c r="BB84" i="1"/>
  <c r="BF84" i="1"/>
  <c r="BJ84" i="1"/>
  <c r="BN84" i="1"/>
  <c r="BR84" i="1"/>
  <c r="BV84" i="1"/>
  <c r="BZ84" i="1"/>
  <c r="AA71" i="1"/>
  <c r="AE71" i="1"/>
  <c r="AG71" i="1" s="1"/>
  <c r="AI71" i="1"/>
  <c r="AM71" i="1"/>
  <c r="AQ71" i="1"/>
  <c r="AS71" i="1" s="1"/>
  <c r="AU71" i="1"/>
  <c r="AY71" i="1"/>
  <c r="BC71" i="1"/>
  <c r="BG71" i="1"/>
  <c r="BK71" i="1"/>
  <c r="BM71" i="1" s="1"/>
  <c r="BO71" i="1"/>
  <c r="BS71" i="1"/>
  <c r="BW71" i="1"/>
  <c r="BY71" i="1" s="1"/>
  <c r="CA71" i="1"/>
  <c r="AA79" i="1"/>
  <c r="AE79" i="1"/>
  <c r="AI79" i="1"/>
  <c r="AM79" i="1"/>
  <c r="AO79" i="1" s="1"/>
  <c r="AQ79" i="1"/>
  <c r="AU79" i="1"/>
  <c r="AY79" i="1"/>
  <c r="BC79" i="1"/>
  <c r="BE79" i="1" s="1"/>
  <c r="BG79" i="1"/>
  <c r="BK79" i="1"/>
  <c r="BO79" i="1"/>
  <c r="BS79" i="1"/>
  <c r="BU79" i="1" s="1"/>
  <c r="BW79" i="1"/>
  <c r="CA79" i="1"/>
  <c r="R92" i="1"/>
  <c r="Y92" i="1" s="1"/>
  <c r="W92" i="1"/>
  <c r="Z98" i="1"/>
  <c r="AD98" i="1"/>
  <c r="AH98" i="1"/>
  <c r="AL98" i="1"/>
  <c r="AP98" i="1"/>
  <c r="AT98" i="1"/>
  <c r="AX98" i="1"/>
  <c r="BB98" i="1"/>
  <c r="BF98" i="1"/>
  <c r="BJ98" i="1"/>
  <c r="BN98" i="1"/>
  <c r="BR98" i="1"/>
  <c r="BV98" i="1"/>
  <c r="BZ98" i="1"/>
  <c r="AM50" i="1"/>
  <c r="BC50" i="1"/>
  <c r="BS50" i="1"/>
  <c r="AI50" i="1"/>
  <c r="AY50" i="1"/>
  <c r="BO50" i="1"/>
  <c r="AE50" i="1"/>
  <c r="AU50" i="1"/>
  <c r="BK50" i="1"/>
  <c r="CA50" i="1"/>
  <c r="BW50" i="1"/>
  <c r="BG50" i="1"/>
  <c r="AQ50" i="1"/>
  <c r="AA50" i="1"/>
  <c r="R91" i="1"/>
  <c r="Y91" i="1" s="1"/>
  <c r="W91" i="1"/>
  <c r="R111" i="1"/>
  <c r="Y111" i="1" s="1"/>
  <c r="W111" i="1"/>
  <c r="AO9" i="1"/>
  <c r="AA26" i="1"/>
  <c r="AE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AA35" i="1"/>
  <c r="AC35" i="1" s="1"/>
  <c r="AQ35" i="1"/>
  <c r="BG35" i="1"/>
  <c r="BI35" i="1" s="1"/>
  <c r="BW35" i="1"/>
  <c r="BY35" i="1" s="1"/>
  <c r="AI35" i="1"/>
  <c r="BK35" i="1"/>
  <c r="BS35" i="1"/>
  <c r="BU35" i="1" s="1"/>
  <c r="AY35" i="1"/>
  <c r="CA35" i="1"/>
  <c r="BC35" i="1"/>
  <c r="AE35" i="1"/>
  <c r="AU35" i="1"/>
  <c r="AM35" i="1"/>
  <c r="BO35" i="1"/>
  <c r="AE38" i="1"/>
  <c r="AU38" i="1"/>
  <c r="BK38" i="1"/>
  <c r="CA38" i="1"/>
  <c r="AI38" i="1"/>
  <c r="AK38" i="1" s="1"/>
  <c r="AQ38" i="1"/>
  <c r="AA38" i="1"/>
  <c r="BC38" i="1"/>
  <c r="BS38" i="1"/>
  <c r="BU38" i="1" s="1"/>
  <c r="AM38" i="1"/>
  <c r="AO38" i="1" s="1"/>
  <c r="BG38" i="1"/>
  <c r="AY38" i="1"/>
  <c r="BO38" i="1"/>
  <c r="BW38" i="1"/>
  <c r="AA63" i="1"/>
  <c r="AE63" i="1"/>
  <c r="AI63" i="1"/>
  <c r="AM63" i="1"/>
  <c r="AQ63" i="1"/>
  <c r="AU63" i="1"/>
  <c r="AY63" i="1"/>
  <c r="BC63" i="1"/>
  <c r="BG63" i="1"/>
  <c r="BK63" i="1"/>
  <c r="BO63" i="1"/>
  <c r="BS63" i="1"/>
  <c r="BW63" i="1"/>
  <c r="CA63" i="1"/>
  <c r="AA69" i="1"/>
  <c r="AE69" i="1"/>
  <c r="AI69" i="1"/>
  <c r="AM69" i="1"/>
  <c r="AQ69" i="1"/>
  <c r="AU69" i="1"/>
  <c r="AY69" i="1"/>
  <c r="BC69" i="1"/>
  <c r="BG69" i="1"/>
  <c r="BK69" i="1"/>
  <c r="BO69" i="1"/>
  <c r="BS69" i="1"/>
  <c r="BW69" i="1"/>
  <c r="CA69" i="1"/>
  <c r="AF76" i="1"/>
  <c r="AN76" i="1"/>
  <c r="AV76" i="1"/>
  <c r="BD76" i="1"/>
  <c r="BL76" i="1"/>
  <c r="BT76" i="1"/>
  <c r="CB76" i="1"/>
  <c r="AR76" i="1"/>
  <c r="BX76" i="1"/>
  <c r="AZ76" i="1"/>
  <c r="AB76" i="1"/>
  <c r="BH76" i="1"/>
  <c r="AJ76" i="1"/>
  <c r="BP76" i="1"/>
  <c r="BQ19" i="1"/>
  <c r="R41" i="1"/>
  <c r="Y41" i="1" s="1"/>
  <c r="W41" i="1"/>
  <c r="AF39" i="1"/>
  <c r="AV39" i="1"/>
  <c r="BL39" i="1"/>
  <c r="CB39" i="1"/>
  <c r="AJ39" i="1"/>
  <c r="AR39" i="1"/>
  <c r="BT39" i="1"/>
  <c r="AZ39" i="1"/>
  <c r="BH39" i="1"/>
  <c r="AN39" i="1"/>
  <c r="BP39" i="1"/>
  <c r="BX39" i="1"/>
  <c r="AB39" i="1"/>
  <c r="BD39" i="1"/>
  <c r="W39" i="1"/>
  <c r="AB69" i="1"/>
  <c r="AF69" i="1"/>
  <c r="AJ69" i="1"/>
  <c r="AN69" i="1"/>
  <c r="AR69" i="1"/>
  <c r="AV69" i="1"/>
  <c r="AZ69" i="1"/>
  <c r="BD69" i="1"/>
  <c r="BH69" i="1"/>
  <c r="BL69" i="1"/>
  <c r="BP69" i="1"/>
  <c r="BT69" i="1"/>
  <c r="BX69" i="1"/>
  <c r="CB69" i="1"/>
  <c r="AB59" i="1"/>
  <c r="AF59" i="1"/>
  <c r="AJ59" i="1"/>
  <c r="AN59" i="1"/>
  <c r="AR59" i="1"/>
  <c r="AV59" i="1"/>
  <c r="AZ59" i="1"/>
  <c r="BD59" i="1"/>
  <c r="BH59" i="1"/>
  <c r="BL59" i="1"/>
  <c r="BP59" i="1"/>
  <c r="BT59" i="1"/>
  <c r="BX59" i="1"/>
  <c r="CB59" i="1"/>
  <c r="R94" i="1"/>
  <c r="Y94" i="1" s="1"/>
  <c r="W94" i="1"/>
  <c r="AK16" i="1"/>
  <c r="AK11" i="1"/>
  <c r="AD13" i="1"/>
  <c r="AG13" i="1" s="1"/>
  <c r="AH13" i="1"/>
  <c r="AK13" i="1" s="1"/>
  <c r="AL13" i="1"/>
  <c r="AO13" i="1" s="1"/>
  <c r="AP13" i="1"/>
  <c r="AS13" i="1" s="1"/>
  <c r="AT13" i="1"/>
  <c r="AW13" i="1" s="1"/>
  <c r="AX13" i="1"/>
  <c r="BA13" i="1" s="1"/>
  <c r="BB13" i="1"/>
  <c r="BE13" i="1" s="1"/>
  <c r="BF13" i="1"/>
  <c r="BI13" i="1" s="1"/>
  <c r="BJ13" i="1"/>
  <c r="BM13" i="1" s="1"/>
  <c r="BN13" i="1"/>
  <c r="BQ13" i="1" s="1"/>
  <c r="BR13" i="1"/>
  <c r="BU13" i="1" s="1"/>
  <c r="BV13" i="1"/>
  <c r="BY13" i="1" s="1"/>
  <c r="BZ13" i="1"/>
  <c r="CC13" i="1" s="1"/>
  <c r="Z13" i="1"/>
  <c r="AC13" i="1" s="1"/>
  <c r="AD25" i="1"/>
  <c r="AG25" i="1" s="1"/>
  <c r="AT25" i="1"/>
  <c r="BJ25" i="1"/>
  <c r="BZ25" i="1"/>
  <c r="Z25" i="1"/>
  <c r="AP25" i="1"/>
  <c r="BF25" i="1"/>
  <c r="BV25" i="1"/>
  <c r="AX25" i="1"/>
  <c r="BA25" i="1" s="1"/>
  <c r="AH25" i="1"/>
  <c r="AL25" i="1"/>
  <c r="BB25" i="1"/>
  <c r="BN25" i="1"/>
  <c r="BQ25" i="1" s="1"/>
  <c r="BR25" i="1"/>
  <c r="CC45" i="1"/>
  <c r="R27" i="1"/>
  <c r="Y27" i="1" s="1"/>
  <c r="W27" i="1"/>
  <c r="BA28" i="1"/>
  <c r="AK28" i="1"/>
  <c r="BA47" i="1"/>
  <c r="Z61" i="1"/>
  <c r="AD61" i="1"/>
  <c r="AH61" i="1"/>
  <c r="AL61" i="1"/>
  <c r="AP61" i="1"/>
  <c r="AT61" i="1"/>
  <c r="AX61" i="1"/>
  <c r="BB61" i="1"/>
  <c r="BF61" i="1"/>
  <c r="BJ61" i="1"/>
  <c r="BN61" i="1"/>
  <c r="BR61" i="1"/>
  <c r="BV61" i="1"/>
  <c r="BZ61" i="1"/>
  <c r="Z69" i="1"/>
  <c r="AD69" i="1"/>
  <c r="AH69" i="1"/>
  <c r="AL69" i="1"/>
  <c r="AO69" i="1" s="1"/>
  <c r="AP69" i="1"/>
  <c r="AT69" i="1"/>
  <c r="AX69" i="1"/>
  <c r="BB69" i="1"/>
  <c r="BE69" i="1" s="1"/>
  <c r="BF69" i="1"/>
  <c r="BJ69" i="1"/>
  <c r="BN69" i="1"/>
  <c r="BR69" i="1"/>
  <c r="BU69" i="1" s="1"/>
  <c r="BV69" i="1"/>
  <c r="BZ69" i="1"/>
  <c r="AA86" i="1"/>
  <c r="AC86" i="1" s="1"/>
  <c r="AE86" i="1"/>
  <c r="AI86" i="1"/>
  <c r="AM86" i="1"/>
  <c r="AO86" i="1" s="1"/>
  <c r="AQ86" i="1"/>
  <c r="AS86" i="1" s="1"/>
  <c r="AU86" i="1"/>
  <c r="AY86" i="1"/>
  <c r="BC86" i="1"/>
  <c r="BG86" i="1"/>
  <c r="BI86" i="1" s="1"/>
  <c r="BK86" i="1"/>
  <c r="BO86" i="1"/>
  <c r="BS86" i="1"/>
  <c r="BU86" i="1" s="1"/>
  <c r="BW86" i="1"/>
  <c r="BY86" i="1" s="1"/>
  <c r="CA86" i="1"/>
  <c r="AA81" i="1"/>
  <c r="AC81" i="1" s="1"/>
  <c r="AE81" i="1"/>
  <c r="AI81" i="1"/>
  <c r="AM81" i="1"/>
  <c r="AQ81" i="1"/>
  <c r="AS81" i="1" s="1"/>
  <c r="AU81" i="1"/>
  <c r="AY81" i="1"/>
  <c r="BC81" i="1"/>
  <c r="BG81" i="1"/>
  <c r="BK81" i="1"/>
  <c r="BO81" i="1"/>
  <c r="BS81" i="1"/>
  <c r="BW81" i="1"/>
  <c r="BY81" i="1" s="1"/>
  <c r="CA81" i="1"/>
  <c r="Z67" i="1"/>
  <c r="AD67" i="1"/>
  <c r="AH67" i="1"/>
  <c r="AL67" i="1"/>
  <c r="AP67" i="1"/>
  <c r="AT67" i="1"/>
  <c r="AX67" i="1"/>
  <c r="BB67" i="1"/>
  <c r="BF67" i="1"/>
  <c r="BJ67" i="1"/>
  <c r="BN67" i="1"/>
  <c r="BR67" i="1"/>
  <c r="BV67" i="1"/>
  <c r="BZ67" i="1"/>
  <c r="W76" i="1"/>
  <c r="AF81" i="1"/>
  <c r="AN81" i="1"/>
  <c r="AV81" i="1"/>
  <c r="BD81" i="1"/>
  <c r="BL81" i="1"/>
  <c r="BT81" i="1"/>
  <c r="CB81" i="1"/>
  <c r="AB81" i="1"/>
  <c r="AJ81" i="1"/>
  <c r="AR81" i="1"/>
  <c r="AZ81" i="1"/>
  <c r="BH81" i="1"/>
  <c r="BP81" i="1"/>
  <c r="BX81" i="1"/>
  <c r="AJ24" i="1"/>
  <c r="AZ24" i="1"/>
  <c r="BP24" i="1"/>
  <c r="AF24" i="1"/>
  <c r="AV24" i="1"/>
  <c r="BL24" i="1"/>
  <c r="CB24" i="1"/>
  <c r="AN24" i="1"/>
  <c r="BT24" i="1"/>
  <c r="AB24" i="1"/>
  <c r="AR24" i="1"/>
  <c r="BD24" i="1"/>
  <c r="BH24" i="1"/>
  <c r="BX24" i="1"/>
  <c r="AF85" i="1"/>
  <c r="AN85" i="1"/>
  <c r="AV85" i="1"/>
  <c r="BD85" i="1"/>
  <c r="BL85" i="1"/>
  <c r="BT85" i="1"/>
  <c r="CB85" i="1"/>
  <c r="AB85" i="1"/>
  <c r="AJ85" i="1"/>
  <c r="AR85" i="1"/>
  <c r="AZ85" i="1"/>
  <c r="BH85" i="1"/>
  <c r="BP85" i="1"/>
  <c r="BX85" i="1"/>
  <c r="Z66" i="1"/>
  <c r="AD66" i="1"/>
  <c r="AH66" i="1"/>
  <c r="AL66" i="1"/>
  <c r="AP66" i="1"/>
  <c r="AT66" i="1"/>
  <c r="AX66" i="1"/>
  <c r="BB66" i="1"/>
  <c r="BF66" i="1"/>
  <c r="BJ66" i="1"/>
  <c r="BN66" i="1"/>
  <c r="BR66" i="1"/>
  <c r="BV66" i="1"/>
  <c r="BZ66" i="1"/>
  <c r="R66" i="1"/>
  <c r="Y66" i="1" s="1"/>
  <c r="W66" i="1"/>
  <c r="R96" i="1"/>
  <c r="Y96" i="1" s="1"/>
  <c r="W96" i="1"/>
  <c r="R33" i="1"/>
  <c r="Y33" i="1" s="1"/>
  <c r="W33" i="1"/>
  <c r="AC17" i="1"/>
  <c r="R102" i="1"/>
  <c r="Y102" i="1" s="1"/>
  <c r="W102" i="1"/>
  <c r="AE15" i="1"/>
  <c r="AU15" i="1"/>
  <c r="AW15" i="1" s="1"/>
  <c r="AA15" i="1"/>
  <c r="AQ15" i="1"/>
  <c r="AY15" i="1"/>
  <c r="BA15" i="1" s="1"/>
  <c r="BG15" i="1"/>
  <c r="BO15" i="1"/>
  <c r="BW15" i="1"/>
  <c r="AI15" i="1"/>
  <c r="BC15" i="1"/>
  <c r="BS15" i="1"/>
  <c r="BU15" i="1" s="1"/>
  <c r="AM15" i="1"/>
  <c r="CA15" i="1"/>
  <c r="BK15" i="1"/>
  <c r="BE17" i="1"/>
  <c r="AA25" i="1"/>
  <c r="AE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C16" i="1"/>
  <c r="AW16" i="1"/>
  <c r="BA19" i="1"/>
  <c r="AA21" i="1"/>
  <c r="AQ21" i="1"/>
  <c r="AS21" i="1" s="1"/>
  <c r="BG21" i="1"/>
  <c r="BW21" i="1"/>
  <c r="BY21" i="1" s="1"/>
  <c r="AM21" i="1"/>
  <c r="BC21" i="1"/>
  <c r="BE21" i="1" s="1"/>
  <c r="BS21" i="1"/>
  <c r="AY21" i="1"/>
  <c r="BA21" i="1" s="1"/>
  <c r="AE21" i="1"/>
  <c r="BK21" i="1"/>
  <c r="AI21" i="1"/>
  <c r="AU21" i="1"/>
  <c r="AW21" i="1" s="1"/>
  <c r="CA21" i="1"/>
  <c r="BO21" i="1"/>
  <c r="BQ21" i="1" s="1"/>
  <c r="R34" i="1"/>
  <c r="Y34" i="1" s="1"/>
  <c r="W34" i="1"/>
  <c r="AO21" i="1"/>
  <c r="AD26" i="1"/>
  <c r="AG26" i="1" s="1"/>
  <c r="AT26" i="1"/>
  <c r="BJ26" i="1"/>
  <c r="BZ26" i="1"/>
  <c r="Z26" i="1"/>
  <c r="AC26" i="1" s="1"/>
  <c r="AP26" i="1"/>
  <c r="AS26" i="1" s="1"/>
  <c r="BF26" i="1"/>
  <c r="BI26" i="1" s="1"/>
  <c r="BV26" i="1"/>
  <c r="BY26" i="1" s="1"/>
  <c r="AX26" i="1"/>
  <c r="BA26" i="1" s="1"/>
  <c r="BR26" i="1"/>
  <c r="BU26" i="1" s="1"/>
  <c r="AH26" i="1"/>
  <c r="AK26" i="1" s="1"/>
  <c r="BB26" i="1"/>
  <c r="BE26" i="1" s="1"/>
  <c r="BN26" i="1"/>
  <c r="BQ26" i="1" s="1"/>
  <c r="AL26" i="1"/>
  <c r="AO26" i="1" s="1"/>
  <c r="AI37" i="1"/>
  <c r="AY37" i="1"/>
  <c r="BO37" i="1"/>
  <c r="AM37" i="1"/>
  <c r="AU37" i="1"/>
  <c r="BW37" i="1"/>
  <c r="AA37" i="1"/>
  <c r="AC37" i="1" s="1"/>
  <c r="BC37" i="1"/>
  <c r="BE37" i="1" s="1"/>
  <c r="BK37" i="1"/>
  <c r="CA37" i="1"/>
  <c r="CC37" i="1" s="1"/>
  <c r="AQ37" i="1"/>
  <c r="AS37" i="1" s="1"/>
  <c r="BS37" i="1"/>
  <c r="BG37" i="1"/>
  <c r="BI37" i="1" s="1"/>
  <c r="AE37" i="1"/>
  <c r="AG37" i="1" s="1"/>
  <c r="BI46" i="1"/>
  <c r="R58" i="1"/>
  <c r="Y58" i="1" s="1"/>
  <c r="W58" i="1"/>
  <c r="AC49" i="1"/>
  <c r="BQ49" i="1"/>
  <c r="BA49" i="1"/>
  <c r="AK49" i="1"/>
  <c r="R53" i="1"/>
  <c r="Y53" i="1" s="1"/>
  <c r="W53" i="1"/>
  <c r="Z36" i="1"/>
  <c r="AD36" i="1"/>
  <c r="AH36" i="1"/>
  <c r="AL36" i="1"/>
  <c r="AP36" i="1"/>
  <c r="AT36" i="1"/>
  <c r="AX36" i="1"/>
  <c r="BB36" i="1"/>
  <c r="BF36" i="1"/>
  <c r="BJ36" i="1"/>
  <c r="BN36" i="1"/>
  <c r="BR36" i="1"/>
  <c r="BV36" i="1"/>
  <c r="BZ36" i="1"/>
  <c r="R36" i="1"/>
  <c r="Y36" i="1" s="1"/>
  <c r="W36" i="1"/>
  <c r="Z68" i="1"/>
  <c r="AD68" i="1"/>
  <c r="AH68" i="1"/>
  <c r="AL68" i="1"/>
  <c r="AP68" i="1"/>
  <c r="AT68" i="1"/>
  <c r="AX68" i="1"/>
  <c r="BB68" i="1"/>
  <c r="BF68" i="1"/>
  <c r="BJ68" i="1"/>
  <c r="BN68" i="1"/>
  <c r="BR68" i="1"/>
  <c r="BV68" i="1"/>
  <c r="BZ68" i="1"/>
  <c r="R74" i="1"/>
  <c r="Y74" i="1" s="1"/>
  <c r="W74" i="1"/>
  <c r="R78" i="1"/>
  <c r="Y78" i="1" s="1"/>
  <c r="W78" i="1"/>
  <c r="AA82" i="1"/>
  <c r="AE82" i="1"/>
  <c r="AI82" i="1"/>
  <c r="AM82" i="1"/>
  <c r="AQ82" i="1"/>
  <c r="AU82" i="1"/>
  <c r="AY82" i="1"/>
  <c r="BC82" i="1"/>
  <c r="BG82" i="1"/>
  <c r="BK82" i="1"/>
  <c r="BO82" i="1"/>
  <c r="BS82" i="1"/>
  <c r="BW82" i="1"/>
  <c r="CA82" i="1"/>
  <c r="W85" i="1"/>
  <c r="W72" i="1"/>
  <c r="AA77" i="1"/>
  <c r="AE77" i="1"/>
  <c r="AG77" i="1" s="1"/>
  <c r="AI77" i="1"/>
  <c r="AM77" i="1"/>
  <c r="AQ77" i="1"/>
  <c r="AS77" i="1" s="1"/>
  <c r="AU77" i="1"/>
  <c r="AW77" i="1" s="1"/>
  <c r="AY77" i="1"/>
  <c r="BC77" i="1"/>
  <c r="BE77" i="1" s="1"/>
  <c r="BG77" i="1"/>
  <c r="BI77" i="1" s="1"/>
  <c r="BK77" i="1"/>
  <c r="BM77" i="1" s="1"/>
  <c r="BO77" i="1"/>
  <c r="BS77" i="1"/>
  <c r="BW77" i="1"/>
  <c r="BY77" i="1" s="1"/>
  <c r="CA77" i="1"/>
  <c r="CC77" i="1" s="1"/>
  <c r="Z62" i="1"/>
  <c r="AD62" i="1"/>
  <c r="AH62" i="1"/>
  <c r="AL62" i="1"/>
  <c r="AP62" i="1"/>
  <c r="AT62" i="1"/>
  <c r="AX62" i="1"/>
  <c r="BB62" i="1"/>
  <c r="BF62" i="1"/>
  <c r="BJ62" i="1"/>
  <c r="BN62" i="1"/>
  <c r="BR62" i="1"/>
  <c r="BV62" i="1"/>
  <c r="BZ62" i="1"/>
  <c r="R62" i="1"/>
  <c r="Y62" i="1" s="1"/>
  <c r="W62" i="1"/>
  <c r="R80" i="1"/>
  <c r="Y80" i="1" s="1"/>
  <c r="W80" i="1"/>
  <c r="R99" i="1"/>
  <c r="Y99" i="1" s="1"/>
  <c r="W99" i="1"/>
  <c r="BI117" i="1"/>
  <c r="BI125" i="1"/>
  <c r="BA133" i="1"/>
  <c r="AD134" i="1"/>
  <c r="AG134" i="1" s="1"/>
  <c r="AL134" i="1"/>
  <c r="AO134" i="1" s="1"/>
  <c r="AT134" i="1"/>
  <c r="AW134" i="1" s="1"/>
  <c r="BB134" i="1"/>
  <c r="BE134" i="1" s="1"/>
  <c r="BJ134" i="1"/>
  <c r="BM134" i="1" s="1"/>
  <c r="BR134" i="1"/>
  <c r="BU134" i="1" s="1"/>
  <c r="BZ134" i="1"/>
  <c r="CC134" i="1" s="1"/>
  <c r="Z134" i="1"/>
  <c r="AC134" i="1" s="1"/>
  <c r="AH134" i="1"/>
  <c r="AK134" i="1" s="1"/>
  <c r="AP134" i="1"/>
  <c r="AS134" i="1" s="1"/>
  <c r="AX134" i="1"/>
  <c r="BA134" i="1" s="1"/>
  <c r="BF134" i="1"/>
  <c r="BI134" i="1" s="1"/>
  <c r="BN134" i="1"/>
  <c r="BQ134" i="1" s="1"/>
  <c r="BV134" i="1"/>
  <c r="BY134" i="1" s="1"/>
  <c r="CC130" i="1"/>
  <c r="BM130" i="1"/>
  <c r="BI81" i="1"/>
  <c r="Z119" i="1"/>
  <c r="AC119" i="1" s="1"/>
  <c r="AD119" i="1"/>
  <c r="AG119" i="1" s="1"/>
  <c r="AH119" i="1"/>
  <c r="AK119" i="1" s="1"/>
  <c r="AL119" i="1"/>
  <c r="AO119" i="1" s="1"/>
  <c r="AP119" i="1"/>
  <c r="AS119" i="1" s="1"/>
  <c r="AT119" i="1"/>
  <c r="AW119" i="1" s="1"/>
  <c r="AX119" i="1"/>
  <c r="BA119" i="1" s="1"/>
  <c r="BB119" i="1"/>
  <c r="BE119" i="1" s="1"/>
  <c r="BF119" i="1"/>
  <c r="BI119" i="1" s="1"/>
  <c r="BJ119" i="1"/>
  <c r="BM119" i="1" s="1"/>
  <c r="BN119" i="1"/>
  <c r="BQ119" i="1" s="1"/>
  <c r="BR119" i="1"/>
  <c r="BU119" i="1" s="1"/>
  <c r="BV119" i="1"/>
  <c r="BY119" i="1" s="1"/>
  <c r="BZ119" i="1"/>
  <c r="CC119" i="1" s="1"/>
  <c r="AG132" i="1"/>
  <c r="BM132" i="1"/>
  <c r="AJ136" i="1"/>
  <c r="AZ136" i="1"/>
  <c r="BP136" i="1"/>
  <c r="AN136" i="1"/>
  <c r="BD136" i="1"/>
  <c r="BT136" i="1"/>
  <c r="AF136" i="1"/>
  <c r="AV136" i="1"/>
  <c r="BL136" i="1"/>
  <c r="CB136" i="1"/>
  <c r="AB136" i="1"/>
  <c r="AR136" i="1"/>
  <c r="BH136" i="1"/>
  <c r="BX136" i="1"/>
  <c r="Z140" i="1"/>
  <c r="AC140" i="1" s="1"/>
  <c r="AP140" i="1"/>
  <c r="AS140" i="1" s="1"/>
  <c r="BF140" i="1"/>
  <c r="BI140" i="1" s="1"/>
  <c r="BV140" i="1"/>
  <c r="BY140" i="1" s="1"/>
  <c r="AT140" i="1"/>
  <c r="AW140" i="1" s="1"/>
  <c r="BZ140" i="1"/>
  <c r="CC140" i="1" s="1"/>
  <c r="AL140" i="1"/>
  <c r="AO140" i="1" s="1"/>
  <c r="BB140" i="1"/>
  <c r="BE140" i="1" s="1"/>
  <c r="BR140" i="1"/>
  <c r="BU140" i="1" s="1"/>
  <c r="AD140" i="1"/>
  <c r="AG140" i="1" s="1"/>
  <c r="BJ140" i="1"/>
  <c r="BM140" i="1" s="1"/>
  <c r="AH140" i="1"/>
  <c r="AK140" i="1" s="1"/>
  <c r="AX140" i="1"/>
  <c r="BA140" i="1" s="1"/>
  <c r="BN140" i="1"/>
  <c r="BQ140" i="1" s="1"/>
  <c r="Z143" i="1"/>
  <c r="AP143" i="1"/>
  <c r="BF143" i="1"/>
  <c r="BV143" i="1"/>
  <c r="AL143" i="1"/>
  <c r="AO143" i="1" s="1"/>
  <c r="BB143" i="1"/>
  <c r="BR143" i="1"/>
  <c r="BU143" i="1" s="1"/>
  <c r="AD143" i="1"/>
  <c r="AH143" i="1"/>
  <c r="AX143" i="1"/>
  <c r="BN143" i="1"/>
  <c r="BQ143" i="1" s="1"/>
  <c r="AT143" i="1"/>
  <c r="BJ143" i="1"/>
  <c r="BM143" i="1" s="1"/>
  <c r="BZ143" i="1"/>
  <c r="CC118" i="1"/>
  <c r="BM118" i="1"/>
  <c r="BQ122" i="1"/>
  <c r="BA122" i="1"/>
  <c r="AK122" i="1"/>
  <c r="AD166" i="1"/>
  <c r="AG166" i="1" s="1"/>
  <c r="AH166" i="1"/>
  <c r="AK166" i="1" s="1"/>
  <c r="AP166" i="1"/>
  <c r="AS166" i="1" s="1"/>
  <c r="AX166" i="1"/>
  <c r="BA166" i="1" s="1"/>
  <c r="BF166" i="1"/>
  <c r="BI166" i="1" s="1"/>
  <c r="BJ166" i="1"/>
  <c r="BM166" i="1" s="1"/>
  <c r="BR166" i="1"/>
  <c r="BU166" i="1" s="1"/>
  <c r="BZ166" i="1"/>
  <c r="CC166" i="1" s="1"/>
  <c r="Z166" i="1"/>
  <c r="AC166" i="1" s="1"/>
  <c r="AL166" i="1"/>
  <c r="AO166" i="1" s="1"/>
  <c r="AT166" i="1"/>
  <c r="AW166" i="1" s="1"/>
  <c r="BB166" i="1"/>
  <c r="BE166" i="1" s="1"/>
  <c r="BN166" i="1"/>
  <c r="BQ166" i="1" s="1"/>
  <c r="BV166" i="1"/>
  <c r="BY166" i="1" s="1"/>
  <c r="AS169" i="1"/>
  <c r="AO170" i="1"/>
  <c r="BA171" i="1"/>
  <c r="AS160" i="1"/>
  <c r="BI152" i="1"/>
  <c r="AC152" i="1"/>
  <c r="AO162" i="1"/>
  <c r="CC163" i="1"/>
  <c r="AW163" i="1"/>
  <c r="Z151" i="1"/>
  <c r="AC151" i="1" s="1"/>
  <c r="AD151" i="1"/>
  <c r="AG151" i="1" s="1"/>
  <c r="AH151" i="1"/>
  <c r="AK151" i="1" s="1"/>
  <c r="AL151" i="1"/>
  <c r="AO151" i="1" s="1"/>
  <c r="AP151" i="1"/>
  <c r="AS151" i="1" s="1"/>
  <c r="AT151" i="1"/>
  <c r="AW151" i="1" s="1"/>
  <c r="AX151" i="1"/>
  <c r="BA151" i="1" s="1"/>
  <c r="BB151" i="1"/>
  <c r="BE151" i="1" s="1"/>
  <c r="BF151" i="1"/>
  <c r="BI151" i="1" s="1"/>
  <c r="BJ151" i="1"/>
  <c r="BM151" i="1" s="1"/>
  <c r="BN151" i="1"/>
  <c r="BQ151" i="1" s="1"/>
  <c r="BR151" i="1"/>
  <c r="BU151" i="1" s="1"/>
  <c r="BV151" i="1"/>
  <c r="BY151" i="1" s="1"/>
  <c r="BZ151" i="1"/>
  <c r="CC151" i="1" s="1"/>
  <c r="AD164" i="1"/>
  <c r="AG164" i="1" s="1"/>
  <c r="AL164" i="1"/>
  <c r="AO164" i="1" s="1"/>
  <c r="AP164" i="1"/>
  <c r="AS164" i="1" s="1"/>
  <c r="AX164" i="1"/>
  <c r="BA164" i="1" s="1"/>
  <c r="BF164" i="1"/>
  <c r="BI164" i="1" s="1"/>
  <c r="BN164" i="1"/>
  <c r="BQ164" i="1" s="1"/>
  <c r="BV164" i="1"/>
  <c r="BY164" i="1" s="1"/>
  <c r="Z164" i="1"/>
  <c r="AC164" i="1" s="1"/>
  <c r="AH164" i="1"/>
  <c r="AK164" i="1" s="1"/>
  <c r="AT164" i="1"/>
  <c r="AW164" i="1" s="1"/>
  <c r="BB164" i="1"/>
  <c r="BE164" i="1" s="1"/>
  <c r="BJ164" i="1"/>
  <c r="BM164" i="1" s="1"/>
  <c r="BR164" i="1"/>
  <c r="BU164" i="1" s="1"/>
  <c r="BZ164" i="1"/>
  <c r="CC164" i="1" s="1"/>
  <c r="BU81" i="1"/>
  <c r="BE81" i="1"/>
  <c r="AO81" i="1"/>
  <c r="Z115" i="1"/>
  <c r="AC115" i="1" s="1"/>
  <c r="AD115" i="1"/>
  <c r="AG115" i="1" s="1"/>
  <c r="AH115" i="1"/>
  <c r="AK115" i="1" s="1"/>
  <c r="AL115" i="1"/>
  <c r="AO115" i="1" s="1"/>
  <c r="AP115" i="1"/>
  <c r="AS115" i="1" s="1"/>
  <c r="AT115" i="1"/>
  <c r="AW115" i="1" s="1"/>
  <c r="AX115" i="1"/>
  <c r="BA115" i="1" s="1"/>
  <c r="BB115" i="1"/>
  <c r="BE115" i="1" s="1"/>
  <c r="BF115" i="1"/>
  <c r="BI115" i="1" s="1"/>
  <c r="BJ115" i="1"/>
  <c r="BM115" i="1" s="1"/>
  <c r="BN115" i="1"/>
  <c r="BQ115" i="1" s="1"/>
  <c r="BR115" i="1"/>
  <c r="BU115" i="1" s="1"/>
  <c r="BV115" i="1"/>
  <c r="BY115" i="1" s="1"/>
  <c r="BZ115" i="1"/>
  <c r="CC115" i="1" s="1"/>
  <c r="AD131" i="1"/>
  <c r="AG131" i="1" s="1"/>
  <c r="AL131" i="1"/>
  <c r="AO131" i="1" s="1"/>
  <c r="AT131" i="1"/>
  <c r="AW131" i="1" s="1"/>
  <c r="BB131" i="1"/>
  <c r="BE131" i="1" s="1"/>
  <c r="BJ131" i="1"/>
  <c r="BM131" i="1" s="1"/>
  <c r="BR131" i="1"/>
  <c r="BU131" i="1" s="1"/>
  <c r="BZ131" i="1"/>
  <c r="CC131" i="1" s="1"/>
  <c r="Z131" i="1"/>
  <c r="AC131" i="1" s="1"/>
  <c r="AH131" i="1"/>
  <c r="AK131" i="1" s="1"/>
  <c r="AP131" i="1"/>
  <c r="AS131" i="1" s="1"/>
  <c r="AX131" i="1"/>
  <c r="BA131" i="1" s="1"/>
  <c r="BF131" i="1"/>
  <c r="BI131" i="1" s="1"/>
  <c r="BN131" i="1"/>
  <c r="BQ131" i="1" s="1"/>
  <c r="BV131" i="1"/>
  <c r="BY131" i="1" s="1"/>
  <c r="Z137" i="1"/>
  <c r="AC137" i="1" s="1"/>
  <c r="AP137" i="1"/>
  <c r="AS137" i="1" s="1"/>
  <c r="BF137" i="1"/>
  <c r="BI137" i="1" s="1"/>
  <c r="BV137" i="1"/>
  <c r="BY137" i="1" s="1"/>
  <c r="AD137" i="1"/>
  <c r="AG137" i="1" s="1"/>
  <c r="AT137" i="1"/>
  <c r="AW137" i="1" s="1"/>
  <c r="BJ137" i="1"/>
  <c r="BM137" i="1" s="1"/>
  <c r="BZ137" i="1"/>
  <c r="CC137" i="1" s="1"/>
  <c r="AL137" i="1"/>
  <c r="AO137" i="1" s="1"/>
  <c r="BB137" i="1"/>
  <c r="BE137" i="1" s="1"/>
  <c r="BR137" i="1"/>
  <c r="BU137" i="1" s="1"/>
  <c r="AH137" i="1"/>
  <c r="AK137" i="1" s="1"/>
  <c r="AX137" i="1"/>
  <c r="BA137" i="1" s="1"/>
  <c r="BN137" i="1"/>
  <c r="BQ137" i="1" s="1"/>
  <c r="Z141" i="1"/>
  <c r="AP141" i="1"/>
  <c r="BF141" i="1"/>
  <c r="BV141" i="1"/>
  <c r="AD141" i="1"/>
  <c r="AT141" i="1"/>
  <c r="AL141" i="1"/>
  <c r="BB141" i="1"/>
  <c r="BR141" i="1"/>
  <c r="AH141" i="1"/>
  <c r="AX141" i="1"/>
  <c r="BA141" i="1" s="1"/>
  <c r="BN141" i="1"/>
  <c r="BJ141" i="1"/>
  <c r="BZ141" i="1"/>
  <c r="AJ143" i="1"/>
  <c r="AZ143" i="1"/>
  <c r="BP143" i="1"/>
  <c r="AF143" i="1"/>
  <c r="AV143" i="1"/>
  <c r="BL143" i="1"/>
  <c r="CB143" i="1"/>
  <c r="AN143" i="1"/>
  <c r="BD143" i="1"/>
  <c r="BT143" i="1"/>
  <c r="AB143" i="1"/>
  <c r="AR143" i="1"/>
  <c r="BH143" i="1"/>
  <c r="BX143" i="1"/>
  <c r="BU114" i="1"/>
  <c r="BE114" i="1"/>
  <c r="AO114" i="1"/>
  <c r="BY118" i="1"/>
  <c r="BI118" i="1"/>
  <c r="AS118" i="1"/>
  <c r="AC118" i="1"/>
  <c r="CC122" i="1"/>
  <c r="BM122" i="1"/>
  <c r="AW122" i="1"/>
  <c r="AG122" i="1"/>
  <c r="Z159" i="1"/>
  <c r="AC159" i="1" s="1"/>
  <c r="AH159" i="1"/>
  <c r="AK159" i="1" s="1"/>
  <c r="AP159" i="1"/>
  <c r="AS159" i="1" s="1"/>
  <c r="AX159" i="1"/>
  <c r="BA159" i="1" s="1"/>
  <c r="BF159" i="1"/>
  <c r="BI159" i="1" s="1"/>
  <c r="BN159" i="1"/>
  <c r="BQ159" i="1" s="1"/>
  <c r="BV159" i="1"/>
  <c r="BY159" i="1" s="1"/>
  <c r="AD159" i="1"/>
  <c r="AG159" i="1" s="1"/>
  <c r="AL159" i="1"/>
  <c r="AO159" i="1" s="1"/>
  <c r="AT159" i="1"/>
  <c r="AW159" i="1" s="1"/>
  <c r="BB159" i="1"/>
  <c r="BE159" i="1" s="1"/>
  <c r="BJ159" i="1"/>
  <c r="BM159" i="1" s="1"/>
  <c r="BR159" i="1"/>
  <c r="BU159" i="1" s="1"/>
  <c r="BZ159" i="1"/>
  <c r="CC159" i="1" s="1"/>
  <c r="AS153" i="1"/>
  <c r="AC153" i="1"/>
  <c r="AC165" i="1"/>
  <c r="AG165" i="1"/>
  <c r="AG169" i="1"/>
  <c r="BE169" i="1"/>
  <c r="AK170" i="1"/>
  <c r="AG170" i="1"/>
  <c r="BU171" i="1"/>
  <c r="AS171" i="1"/>
  <c r="AC171" i="1"/>
  <c r="AS147" i="1"/>
  <c r="AC147" i="1"/>
  <c r="AK148" i="1"/>
  <c r="BU155" i="1"/>
  <c r="AK155" i="1"/>
  <c r="AG155" i="1"/>
  <c r="AW157" i="1"/>
  <c r="AO160" i="1"/>
  <c r="AK160" i="1"/>
  <c r="BQ150" i="1"/>
  <c r="BA150" i="1"/>
  <c r="AK150" i="1"/>
  <c r="BY152" i="1"/>
  <c r="BE152" i="1"/>
  <c r="AO152" i="1"/>
  <c r="BU152" i="1"/>
  <c r="BQ162" i="1"/>
  <c r="AC162" i="1"/>
  <c r="BE162" i="1"/>
  <c r="AG162" i="1"/>
  <c r="BA163" i="1"/>
  <c r="BU163" i="1"/>
  <c r="AS163" i="1"/>
  <c r="BQ167" i="1"/>
  <c r="AG167" i="1"/>
  <c r="BE167" i="1"/>
  <c r="AC167" i="1"/>
  <c r="AW168" i="1"/>
  <c r="Z146" i="1"/>
  <c r="AC146" i="1" s="1"/>
  <c r="AD146" i="1"/>
  <c r="AG146" i="1" s="1"/>
  <c r="AH146" i="1"/>
  <c r="AK146" i="1" s="1"/>
  <c r="AL146" i="1"/>
  <c r="AO146" i="1" s="1"/>
  <c r="AP146" i="1"/>
  <c r="AS146" i="1" s="1"/>
  <c r="AT146" i="1"/>
  <c r="AW146" i="1" s="1"/>
  <c r="AX146" i="1"/>
  <c r="BA146" i="1" s="1"/>
  <c r="BB146" i="1"/>
  <c r="BE146" i="1" s="1"/>
  <c r="BF146" i="1"/>
  <c r="BI146" i="1" s="1"/>
  <c r="BJ146" i="1"/>
  <c r="BM146" i="1" s="1"/>
  <c r="BN146" i="1"/>
  <c r="BQ146" i="1" s="1"/>
  <c r="BR146" i="1"/>
  <c r="BU146" i="1" s="1"/>
  <c r="BV146" i="1"/>
  <c r="BY146" i="1" s="1"/>
  <c r="BZ146" i="1"/>
  <c r="CC146" i="1" s="1"/>
  <c r="AD161" i="1"/>
  <c r="AG161" i="1" s="1"/>
  <c r="AL161" i="1"/>
  <c r="AO161" i="1" s="1"/>
  <c r="AX161" i="1"/>
  <c r="BA161" i="1" s="1"/>
  <c r="BF161" i="1"/>
  <c r="BI161" i="1" s="1"/>
  <c r="BN161" i="1"/>
  <c r="BQ161" i="1" s="1"/>
  <c r="BV161" i="1"/>
  <c r="BY161" i="1" s="1"/>
  <c r="Z161" i="1"/>
  <c r="AC161" i="1" s="1"/>
  <c r="AH161" i="1"/>
  <c r="AK161" i="1" s="1"/>
  <c r="AP161" i="1"/>
  <c r="AS161" i="1" s="1"/>
  <c r="AT161" i="1"/>
  <c r="AW161" i="1" s="1"/>
  <c r="BB161" i="1"/>
  <c r="BE161" i="1" s="1"/>
  <c r="BJ161" i="1"/>
  <c r="BM161" i="1" s="1"/>
  <c r="BR161" i="1"/>
  <c r="BU161" i="1" s="1"/>
  <c r="BZ161" i="1"/>
  <c r="CC161" i="1" s="1"/>
  <c r="BQ8" i="1"/>
  <c r="AK8" i="1"/>
  <c r="AO17" i="1"/>
  <c r="CC19" i="1"/>
  <c r="AW19" i="1"/>
  <c r="BQ16" i="1"/>
  <c r="R29" i="1"/>
  <c r="Y29" i="1" s="1"/>
  <c r="W29" i="1"/>
  <c r="AN37" i="1"/>
  <c r="BD37" i="1"/>
  <c r="BT37" i="1"/>
  <c r="AF37" i="1"/>
  <c r="BH37" i="1"/>
  <c r="BP37" i="1"/>
  <c r="AV37" i="1"/>
  <c r="AW37" i="1" s="1"/>
  <c r="BX37" i="1"/>
  <c r="BY37" i="1" s="1"/>
  <c r="AJ37" i="1"/>
  <c r="BL37" i="1"/>
  <c r="BM37" i="1" s="1"/>
  <c r="AZ37" i="1"/>
  <c r="CB37" i="1"/>
  <c r="AB37" i="1"/>
  <c r="AR37" i="1"/>
  <c r="BI11" i="1"/>
  <c r="AS15" i="1"/>
  <c r="AS20" i="1"/>
  <c r="AO20" i="1"/>
  <c r="AJ30" i="1"/>
  <c r="AZ30" i="1"/>
  <c r="BP30" i="1"/>
  <c r="AN30" i="1"/>
  <c r="AV30" i="1"/>
  <c r="BX30" i="1"/>
  <c r="AB30" i="1"/>
  <c r="BD30" i="1"/>
  <c r="BL30" i="1"/>
  <c r="AR30" i="1"/>
  <c r="BT30" i="1"/>
  <c r="CB30" i="1"/>
  <c r="AF30" i="1"/>
  <c r="BH30" i="1"/>
  <c r="R12" i="1"/>
  <c r="Y12" i="1" s="1"/>
  <c r="W12" i="1"/>
  <c r="BM18" i="1"/>
  <c r="BM21" i="1"/>
  <c r="AK21" i="1"/>
  <c r="AA22" i="1"/>
  <c r="AC22" i="1" s="1"/>
  <c r="AQ22" i="1"/>
  <c r="AS22" i="1" s="1"/>
  <c r="AM22" i="1"/>
  <c r="AO22" i="1" s="1"/>
  <c r="BC22" i="1"/>
  <c r="BE22" i="1" s="1"/>
  <c r="BG22" i="1"/>
  <c r="BK22" i="1"/>
  <c r="BM22" i="1" s="1"/>
  <c r="BO22" i="1"/>
  <c r="BQ22" i="1" s="1"/>
  <c r="BS22" i="1"/>
  <c r="BU22" i="1" s="1"/>
  <c r="BW22" i="1"/>
  <c r="CA22" i="1"/>
  <c r="CC22" i="1" s="1"/>
  <c r="AY22" i="1"/>
  <c r="BA22" i="1" s="1"/>
  <c r="AE22" i="1"/>
  <c r="AU22" i="1"/>
  <c r="AW22" i="1" s="1"/>
  <c r="AI22" i="1"/>
  <c r="AK22" i="1" s="1"/>
  <c r="R32" i="1"/>
  <c r="Y32" i="1" s="1"/>
  <c r="W32" i="1"/>
  <c r="R40" i="1"/>
  <c r="Y40" i="1" s="1"/>
  <c r="W40" i="1"/>
  <c r="BM44" i="1"/>
  <c r="CC28" i="1"/>
  <c r="AW28" i="1"/>
  <c r="AG28" i="1"/>
  <c r="AA31" i="1"/>
  <c r="AQ31" i="1"/>
  <c r="BG31" i="1"/>
  <c r="BW31" i="1"/>
  <c r="AI31" i="1"/>
  <c r="BK31" i="1"/>
  <c r="BS31" i="1"/>
  <c r="AY31" i="1"/>
  <c r="CA31" i="1"/>
  <c r="AE31" i="1"/>
  <c r="AM31" i="1"/>
  <c r="BO31" i="1"/>
  <c r="AU31" i="1"/>
  <c r="BC31" i="1"/>
  <c r="BQ35" i="1"/>
  <c r="AK35" i="1"/>
  <c r="AF35" i="1"/>
  <c r="AV35" i="1"/>
  <c r="BL35" i="1"/>
  <c r="CB35" i="1"/>
  <c r="AB35" i="1"/>
  <c r="BD35" i="1"/>
  <c r="BE35" i="1" s="1"/>
  <c r="AJ35" i="1"/>
  <c r="AR35" i="1"/>
  <c r="AS35" i="1" s="1"/>
  <c r="BT35" i="1"/>
  <c r="AN35" i="1"/>
  <c r="AO35" i="1" s="1"/>
  <c r="BP35" i="1"/>
  <c r="BH35" i="1"/>
  <c r="BX35" i="1"/>
  <c r="AZ35" i="1"/>
  <c r="BA35" i="1" s="1"/>
  <c r="BI45" i="1"/>
  <c r="BU37" i="1"/>
  <c r="AO37" i="1"/>
  <c r="AG47" i="1"/>
  <c r="R55" i="1"/>
  <c r="Y55" i="1" s="1"/>
  <c r="W55" i="1"/>
  <c r="AC46" i="1"/>
  <c r="AG46" i="1"/>
  <c r="R54" i="1"/>
  <c r="Y54" i="1" s="1"/>
  <c r="W54" i="1"/>
  <c r="AF31" i="1"/>
  <c r="AV31" i="1"/>
  <c r="BL31" i="1"/>
  <c r="CB31" i="1"/>
  <c r="AB31" i="1"/>
  <c r="BD31" i="1"/>
  <c r="AJ31" i="1"/>
  <c r="AR31" i="1"/>
  <c r="BT31" i="1"/>
  <c r="AZ31" i="1"/>
  <c r="BH31" i="1"/>
  <c r="AN31" i="1"/>
  <c r="BP31" i="1"/>
  <c r="BX31" i="1"/>
  <c r="BY49" i="1"/>
  <c r="BI49" i="1"/>
  <c r="AS49" i="1"/>
  <c r="AB65" i="1"/>
  <c r="AF65" i="1"/>
  <c r="AJ65" i="1"/>
  <c r="AN65" i="1"/>
  <c r="AR65" i="1"/>
  <c r="AV65" i="1"/>
  <c r="AZ65" i="1"/>
  <c r="BD65" i="1"/>
  <c r="BH65" i="1"/>
  <c r="BL65" i="1"/>
  <c r="BP65" i="1"/>
  <c r="BT65" i="1"/>
  <c r="BX65" i="1"/>
  <c r="CB65" i="1"/>
  <c r="AB71" i="1"/>
  <c r="AC71" i="1" s="1"/>
  <c r="AJ71" i="1"/>
  <c r="AR71" i="1"/>
  <c r="AZ71" i="1"/>
  <c r="BA71" i="1" s="1"/>
  <c r="BH71" i="1"/>
  <c r="BI71" i="1" s="1"/>
  <c r="BP71" i="1"/>
  <c r="BX71" i="1"/>
  <c r="AF71" i="1"/>
  <c r="AN71" i="1"/>
  <c r="AV71" i="1"/>
  <c r="AW71" i="1" s="1"/>
  <c r="BD71" i="1"/>
  <c r="BL71" i="1"/>
  <c r="BT71" i="1"/>
  <c r="CB71" i="1"/>
  <c r="CC71" i="1" s="1"/>
  <c r="AB75" i="1"/>
  <c r="AJ75" i="1"/>
  <c r="AR75" i="1"/>
  <c r="AZ75" i="1"/>
  <c r="BH75" i="1"/>
  <c r="BP75" i="1"/>
  <c r="BX75" i="1"/>
  <c r="AF75" i="1"/>
  <c r="AN75" i="1"/>
  <c r="AV75" i="1"/>
  <c r="BD75" i="1"/>
  <c r="BL75" i="1"/>
  <c r="BT75" i="1"/>
  <c r="CB75" i="1"/>
  <c r="AB79" i="1"/>
  <c r="AJ79" i="1"/>
  <c r="AK79" i="1" s="1"/>
  <c r="AR79" i="1"/>
  <c r="AZ79" i="1"/>
  <c r="BA79" i="1" s="1"/>
  <c r="BH79" i="1"/>
  <c r="BP79" i="1"/>
  <c r="BQ79" i="1" s="1"/>
  <c r="BX79" i="1"/>
  <c r="AF79" i="1"/>
  <c r="AN79" i="1"/>
  <c r="AV79" i="1"/>
  <c r="AW79" i="1" s="1"/>
  <c r="BD79" i="1"/>
  <c r="BL79" i="1"/>
  <c r="BT79" i="1"/>
  <c r="CB79" i="1"/>
  <c r="CC79" i="1" s="1"/>
  <c r="AB83" i="1"/>
  <c r="AJ83" i="1"/>
  <c r="AR83" i="1"/>
  <c r="AZ83" i="1"/>
  <c r="BH83" i="1"/>
  <c r="BP83" i="1"/>
  <c r="BX83" i="1"/>
  <c r="AF83" i="1"/>
  <c r="AN83" i="1"/>
  <c r="AV83" i="1"/>
  <c r="BD83" i="1"/>
  <c r="BL83" i="1"/>
  <c r="BT83" i="1"/>
  <c r="CB83" i="1"/>
  <c r="AO48" i="1"/>
  <c r="BI48" i="1"/>
  <c r="Z60" i="1"/>
  <c r="AD60" i="1"/>
  <c r="AH60" i="1"/>
  <c r="AL60" i="1"/>
  <c r="AP60" i="1"/>
  <c r="AT60" i="1"/>
  <c r="AX60" i="1"/>
  <c r="BB60" i="1"/>
  <c r="BF60" i="1"/>
  <c r="BJ60" i="1"/>
  <c r="BN60" i="1"/>
  <c r="BR60" i="1"/>
  <c r="BV60" i="1"/>
  <c r="BZ60" i="1"/>
  <c r="Y64" i="1"/>
  <c r="BU71" i="1"/>
  <c r="BE71" i="1"/>
  <c r="AO71" i="1"/>
  <c r="AA73" i="1"/>
  <c r="AE73" i="1"/>
  <c r="AG73" i="1" s="1"/>
  <c r="AI73" i="1"/>
  <c r="AK73" i="1" s="1"/>
  <c r="AM73" i="1"/>
  <c r="AQ73" i="1"/>
  <c r="AU73" i="1"/>
  <c r="AW73" i="1" s="1"/>
  <c r="AY73" i="1"/>
  <c r="BA73" i="1" s="1"/>
  <c r="BC73" i="1"/>
  <c r="BG73" i="1"/>
  <c r="BK73" i="1"/>
  <c r="BM73" i="1" s="1"/>
  <c r="BO73" i="1"/>
  <c r="BS73" i="1"/>
  <c r="BW73" i="1"/>
  <c r="CA73" i="1"/>
  <c r="CC73" i="1" s="1"/>
  <c r="BM79" i="1"/>
  <c r="AG79" i="1"/>
  <c r="Y82" i="1"/>
  <c r="Z59" i="1"/>
  <c r="AC59" i="1" s="1"/>
  <c r="AD59" i="1"/>
  <c r="AG59" i="1" s="1"/>
  <c r="AH59" i="1"/>
  <c r="AK59" i="1" s="1"/>
  <c r="AL59" i="1"/>
  <c r="AO59" i="1" s="1"/>
  <c r="AP59" i="1"/>
  <c r="AS59" i="1" s="1"/>
  <c r="AT59" i="1"/>
  <c r="AW59" i="1" s="1"/>
  <c r="AX59" i="1"/>
  <c r="BA59" i="1" s="1"/>
  <c r="BB59" i="1"/>
  <c r="BE59" i="1" s="1"/>
  <c r="BF59" i="1"/>
  <c r="BI59" i="1" s="1"/>
  <c r="BJ59" i="1"/>
  <c r="BM59" i="1" s="1"/>
  <c r="BN59" i="1"/>
  <c r="BQ59" i="1" s="1"/>
  <c r="BR59" i="1"/>
  <c r="BU59" i="1" s="1"/>
  <c r="BV59" i="1"/>
  <c r="BY59" i="1" s="1"/>
  <c r="BZ59" i="1"/>
  <c r="CC59" i="1" s="1"/>
  <c r="AB63" i="1"/>
  <c r="AF63" i="1"/>
  <c r="AJ63" i="1"/>
  <c r="AN63" i="1"/>
  <c r="AR63" i="1"/>
  <c r="AV63" i="1"/>
  <c r="AZ63" i="1"/>
  <c r="BD63" i="1"/>
  <c r="BH63" i="1"/>
  <c r="BL63" i="1"/>
  <c r="BP63" i="1"/>
  <c r="BT63" i="1"/>
  <c r="BX63" i="1"/>
  <c r="CB63" i="1"/>
  <c r="AF77" i="1"/>
  <c r="AN77" i="1"/>
  <c r="AV77" i="1"/>
  <c r="BD77" i="1"/>
  <c r="BL77" i="1"/>
  <c r="BT77" i="1"/>
  <c r="CB77" i="1"/>
  <c r="AB77" i="1"/>
  <c r="AC77" i="1" s="1"/>
  <c r="AJ77" i="1"/>
  <c r="AR77" i="1"/>
  <c r="AZ77" i="1"/>
  <c r="BH77" i="1"/>
  <c r="BP77" i="1"/>
  <c r="BX77" i="1"/>
  <c r="Z70" i="1"/>
  <c r="AD70" i="1"/>
  <c r="AH70" i="1"/>
  <c r="AL70" i="1"/>
  <c r="AP70" i="1"/>
  <c r="AT70" i="1"/>
  <c r="AX70" i="1"/>
  <c r="BB70" i="1"/>
  <c r="BF70" i="1"/>
  <c r="BJ70" i="1"/>
  <c r="BN70" i="1"/>
  <c r="BR70" i="1"/>
  <c r="BV70" i="1"/>
  <c r="BZ70" i="1"/>
  <c r="Y70" i="1"/>
  <c r="W75" i="1"/>
  <c r="W83" i="1"/>
  <c r="R90" i="1"/>
  <c r="Y90" i="1" s="1"/>
  <c r="W90" i="1"/>
  <c r="R98" i="1"/>
  <c r="Y98" i="1" s="1"/>
  <c r="W98" i="1"/>
  <c r="BU77" i="1"/>
  <c r="AO77" i="1"/>
  <c r="R89" i="1"/>
  <c r="Y89" i="1" s="1"/>
  <c r="W89" i="1"/>
  <c r="R93" i="1"/>
  <c r="Y93" i="1" s="1"/>
  <c r="W93" i="1"/>
  <c r="R97" i="1"/>
  <c r="Y97" i="1" s="1"/>
  <c r="W97" i="1"/>
  <c r="R101" i="1"/>
  <c r="Y101" i="1" s="1"/>
  <c r="W101" i="1"/>
  <c r="R105" i="1"/>
  <c r="Y105" i="1" s="1"/>
  <c r="W105" i="1"/>
  <c r="R109" i="1"/>
  <c r="Y109" i="1" s="1"/>
  <c r="W109" i="1"/>
  <c r="R113" i="1"/>
  <c r="Y113" i="1" s="1"/>
  <c r="W113" i="1"/>
  <c r="R88" i="1"/>
  <c r="Y88" i="1" s="1"/>
  <c r="W88" i="1"/>
  <c r="Z94" i="1"/>
  <c r="AD94" i="1"/>
  <c r="AH94" i="1"/>
  <c r="AL94" i="1"/>
  <c r="AP94" i="1"/>
  <c r="AT94" i="1"/>
  <c r="AX94" i="1"/>
  <c r="BB94" i="1"/>
  <c r="BF94" i="1"/>
  <c r="BJ94" i="1"/>
  <c r="BN94" i="1"/>
  <c r="BR94" i="1"/>
  <c r="BV94" i="1"/>
  <c r="BZ94" i="1"/>
  <c r="Z50" i="1"/>
  <c r="AD50" i="1"/>
  <c r="AH50" i="1"/>
  <c r="AL50" i="1"/>
  <c r="AP50" i="1"/>
  <c r="AT50" i="1"/>
  <c r="AX50" i="1"/>
  <c r="BB50" i="1"/>
  <c r="BF50" i="1"/>
  <c r="BJ50" i="1"/>
  <c r="BN50" i="1"/>
  <c r="BR50" i="1"/>
  <c r="BV50" i="1"/>
  <c r="BZ50" i="1"/>
  <c r="Y50" i="1"/>
  <c r="R107" i="1"/>
  <c r="Y107" i="1" s="1"/>
  <c r="W107" i="1"/>
  <c r="BQ117" i="1"/>
  <c r="BA117" i="1"/>
  <c r="AK117" i="1"/>
  <c r="BY121" i="1"/>
  <c r="BI121" i="1"/>
  <c r="AS121" i="1"/>
  <c r="AC121" i="1"/>
  <c r="BQ125" i="1"/>
  <c r="BA125" i="1"/>
  <c r="AK125" i="1"/>
  <c r="BY129" i="1"/>
  <c r="BI129" i="1"/>
  <c r="AS129" i="1"/>
  <c r="AC129" i="1"/>
  <c r="BI132" i="1"/>
  <c r="Z116" i="1"/>
  <c r="AC116" i="1" s="1"/>
  <c r="AD116" i="1"/>
  <c r="AG116" i="1" s="1"/>
  <c r="AH116" i="1"/>
  <c r="AK116" i="1" s="1"/>
  <c r="AL116" i="1"/>
  <c r="AO116" i="1" s="1"/>
  <c r="AP116" i="1"/>
  <c r="AS116" i="1" s="1"/>
  <c r="AT116" i="1"/>
  <c r="AW116" i="1" s="1"/>
  <c r="AX116" i="1"/>
  <c r="BA116" i="1" s="1"/>
  <c r="BB116" i="1"/>
  <c r="BE116" i="1" s="1"/>
  <c r="BF116" i="1"/>
  <c r="BI116" i="1" s="1"/>
  <c r="BJ116" i="1"/>
  <c r="BM116" i="1" s="1"/>
  <c r="BN116" i="1"/>
  <c r="BQ116" i="1" s="1"/>
  <c r="BR116" i="1"/>
  <c r="BU116" i="1" s="1"/>
  <c r="BV116" i="1"/>
  <c r="BY116" i="1" s="1"/>
  <c r="BZ116" i="1"/>
  <c r="CC116" i="1" s="1"/>
  <c r="Z120" i="1"/>
  <c r="AC120" i="1" s="1"/>
  <c r="AD120" i="1"/>
  <c r="AG120" i="1" s="1"/>
  <c r="AH120" i="1"/>
  <c r="AK120" i="1" s="1"/>
  <c r="AL120" i="1"/>
  <c r="AO120" i="1" s="1"/>
  <c r="AP120" i="1"/>
  <c r="AS120" i="1" s="1"/>
  <c r="AT120" i="1"/>
  <c r="AW120" i="1" s="1"/>
  <c r="AX120" i="1"/>
  <c r="BA120" i="1" s="1"/>
  <c r="BB120" i="1"/>
  <c r="BE120" i="1" s="1"/>
  <c r="BF120" i="1"/>
  <c r="BI120" i="1" s="1"/>
  <c r="BJ120" i="1"/>
  <c r="BM120" i="1" s="1"/>
  <c r="BN120" i="1"/>
  <c r="BQ120" i="1" s="1"/>
  <c r="BR120" i="1"/>
  <c r="BU120" i="1" s="1"/>
  <c r="BV120" i="1"/>
  <c r="BY120" i="1" s="1"/>
  <c r="BZ120" i="1"/>
  <c r="CC120" i="1" s="1"/>
  <c r="Z124" i="1"/>
  <c r="AC124" i="1" s="1"/>
  <c r="AD124" i="1"/>
  <c r="AG124" i="1" s="1"/>
  <c r="AH124" i="1"/>
  <c r="AK124" i="1" s="1"/>
  <c r="AL124" i="1"/>
  <c r="AO124" i="1" s="1"/>
  <c r="AP124" i="1"/>
  <c r="AS124" i="1" s="1"/>
  <c r="AT124" i="1"/>
  <c r="AW124" i="1" s="1"/>
  <c r="AX124" i="1"/>
  <c r="BA124" i="1" s="1"/>
  <c r="BB124" i="1"/>
  <c r="BE124" i="1" s="1"/>
  <c r="BF124" i="1"/>
  <c r="BI124" i="1" s="1"/>
  <c r="BJ124" i="1"/>
  <c r="BM124" i="1" s="1"/>
  <c r="BN124" i="1"/>
  <c r="BQ124" i="1" s="1"/>
  <c r="BR124" i="1"/>
  <c r="BU124" i="1" s="1"/>
  <c r="BV124" i="1"/>
  <c r="BY124" i="1" s="1"/>
  <c r="BZ124" i="1"/>
  <c r="CC124" i="1" s="1"/>
  <c r="Z128" i="1"/>
  <c r="AC128" i="1" s="1"/>
  <c r="AD128" i="1"/>
  <c r="AG128" i="1" s="1"/>
  <c r="AH128" i="1"/>
  <c r="AK128" i="1" s="1"/>
  <c r="AL128" i="1"/>
  <c r="AO128" i="1" s="1"/>
  <c r="AP128" i="1"/>
  <c r="AS128" i="1" s="1"/>
  <c r="AT128" i="1"/>
  <c r="AW128" i="1" s="1"/>
  <c r="AX128" i="1"/>
  <c r="BA128" i="1" s="1"/>
  <c r="BB128" i="1"/>
  <c r="BE128" i="1" s="1"/>
  <c r="BF128" i="1"/>
  <c r="BI128" i="1" s="1"/>
  <c r="BJ128" i="1"/>
  <c r="BM128" i="1" s="1"/>
  <c r="BN128" i="1"/>
  <c r="BQ128" i="1" s="1"/>
  <c r="BR128" i="1"/>
  <c r="BU128" i="1" s="1"/>
  <c r="BV128" i="1"/>
  <c r="BY128" i="1" s="1"/>
  <c r="BZ128" i="1"/>
  <c r="CC128" i="1" s="1"/>
  <c r="AK133" i="1"/>
  <c r="BQ133" i="1"/>
  <c r="CC126" i="1"/>
  <c r="BM126" i="1"/>
  <c r="AW126" i="1"/>
  <c r="BU130" i="1"/>
  <c r="BE130" i="1"/>
  <c r="AO130" i="1"/>
  <c r="BQ81" i="1"/>
  <c r="BA81" i="1"/>
  <c r="AK81" i="1"/>
  <c r="R95" i="1"/>
  <c r="Y95" i="1" s="1"/>
  <c r="W95" i="1"/>
  <c r="Z127" i="1"/>
  <c r="AC127" i="1" s="1"/>
  <c r="AD127" i="1"/>
  <c r="AG127" i="1" s="1"/>
  <c r="AH127" i="1"/>
  <c r="AK127" i="1" s="1"/>
  <c r="AL127" i="1"/>
  <c r="AO127" i="1" s="1"/>
  <c r="AP127" i="1"/>
  <c r="AS127" i="1" s="1"/>
  <c r="AT127" i="1"/>
  <c r="AW127" i="1" s="1"/>
  <c r="AX127" i="1"/>
  <c r="BA127" i="1" s="1"/>
  <c r="BB127" i="1"/>
  <c r="BE127" i="1" s="1"/>
  <c r="BF127" i="1"/>
  <c r="BI127" i="1" s="1"/>
  <c r="BJ127" i="1"/>
  <c r="BM127" i="1" s="1"/>
  <c r="BN127" i="1"/>
  <c r="BQ127" i="1" s="1"/>
  <c r="BR127" i="1"/>
  <c r="BU127" i="1" s="1"/>
  <c r="BV127" i="1"/>
  <c r="BY127" i="1" s="1"/>
  <c r="BZ127" i="1"/>
  <c r="CC127" i="1" s="1"/>
  <c r="AW132" i="1"/>
  <c r="CC132" i="1"/>
  <c r="Z135" i="1"/>
  <c r="AC135" i="1" s="1"/>
  <c r="AP135" i="1"/>
  <c r="AS135" i="1" s="1"/>
  <c r="BF135" i="1"/>
  <c r="BI135" i="1" s="1"/>
  <c r="BV135" i="1"/>
  <c r="BY135" i="1" s="1"/>
  <c r="AD135" i="1"/>
  <c r="AG135" i="1" s="1"/>
  <c r="AT135" i="1"/>
  <c r="AW135" i="1" s="1"/>
  <c r="BJ135" i="1"/>
  <c r="BM135" i="1" s="1"/>
  <c r="BZ135" i="1"/>
  <c r="CC135" i="1" s="1"/>
  <c r="AL135" i="1"/>
  <c r="AO135" i="1" s="1"/>
  <c r="BB135" i="1"/>
  <c r="BE135" i="1" s="1"/>
  <c r="BR135" i="1"/>
  <c r="BU135" i="1" s="1"/>
  <c r="AH135" i="1"/>
  <c r="AK135" i="1" s="1"/>
  <c r="AX135" i="1"/>
  <c r="BA135" i="1" s="1"/>
  <c r="BN135" i="1"/>
  <c r="BQ135" i="1" s="1"/>
  <c r="Z138" i="1"/>
  <c r="AC138" i="1" s="1"/>
  <c r="AP138" i="1"/>
  <c r="AS138" i="1" s="1"/>
  <c r="BF138" i="1"/>
  <c r="BI138" i="1" s="1"/>
  <c r="BV138" i="1"/>
  <c r="BY138" i="1" s="1"/>
  <c r="AD138" i="1"/>
  <c r="AG138" i="1" s="1"/>
  <c r="BJ138" i="1"/>
  <c r="BM138" i="1" s="1"/>
  <c r="AL138" i="1"/>
  <c r="AO138" i="1" s="1"/>
  <c r="BB138" i="1"/>
  <c r="BE138" i="1" s="1"/>
  <c r="BR138" i="1"/>
  <c r="BU138" i="1" s="1"/>
  <c r="AT138" i="1"/>
  <c r="AW138" i="1" s="1"/>
  <c r="BZ138" i="1"/>
  <c r="CC138" i="1" s="1"/>
  <c r="AH138" i="1"/>
  <c r="AK138" i="1" s="1"/>
  <c r="AX138" i="1"/>
  <c r="BA138" i="1" s="1"/>
  <c r="BN138" i="1"/>
  <c r="BQ138" i="1" s="1"/>
  <c r="AJ141" i="1"/>
  <c r="AZ141" i="1"/>
  <c r="BP141" i="1"/>
  <c r="BT141" i="1"/>
  <c r="AF141" i="1"/>
  <c r="AV141" i="1"/>
  <c r="BL141" i="1"/>
  <c r="CB141" i="1"/>
  <c r="AN141" i="1"/>
  <c r="BD141" i="1"/>
  <c r="AB141" i="1"/>
  <c r="AR141" i="1"/>
  <c r="BH141" i="1"/>
  <c r="BX141" i="1"/>
  <c r="Z144" i="1"/>
  <c r="AC144" i="1" s="1"/>
  <c r="AP144" i="1"/>
  <c r="AS144" i="1" s="1"/>
  <c r="BF144" i="1"/>
  <c r="BI144" i="1" s="1"/>
  <c r="BV144" i="1"/>
  <c r="BY144" i="1" s="1"/>
  <c r="AL144" i="1"/>
  <c r="AO144" i="1" s="1"/>
  <c r="BB144" i="1"/>
  <c r="BE144" i="1" s="1"/>
  <c r="BR144" i="1"/>
  <c r="BU144" i="1" s="1"/>
  <c r="AD144" i="1"/>
  <c r="AG144" i="1" s="1"/>
  <c r="AT144" i="1"/>
  <c r="AW144" i="1" s="1"/>
  <c r="AH144" i="1"/>
  <c r="AK144" i="1" s="1"/>
  <c r="AX144" i="1"/>
  <c r="BA144" i="1" s="1"/>
  <c r="BN144" i="1"/>
  <c r="BQ144" i="1" s="1"/>
  <c r="BJ144" i="1"/>
  <c r="BM144" i="1" s="1"/>
  <c r="BZ144" i="1"/>
  <c r="CC144" i="1" s="1"/>
  <c r="BQ114" i="1"/>
  <c r="BA114" i="1"/>
  <c r="AK114" i="1"/>
  <c r="BU118" i="1"/>
  <c r="BE118" i="1"/>
  <c r="AO118" i="1"/>
  <c r="BY122" i="1"/>
  <c r="BI122" i="1"/>
  <c r="AS122" i="1"/>
  <c r="AC122" i="1"/>
  <c r="Z158" i="1"/>
  <c r="AC158" i="1" s="1"/>
  <c r="AH158" i="1"/>
  <c r="AK158" i="1" s="1"/>
  <c r="AP158" i="1"/>
  <c r="AS158" i="1" s="1"/>
  <c r="AT158" i="1"/>
  <c r="AW158" i="1" s="1"/>
  <c r="BB158" i="1"/>
  <c r="BE158" i="1" s="1"/>
  <c r="BJ158" i="1"/>
  <c r="BM158" i="1" s="1"/>
  <c r="BR158" i="1"/>
  <c r="BU158" i="1" s="1"/>
  <c r="BZ158" i="1"/>
  <c r="CC158" i="1" s="1"/>
  <c r="AD158" i="1"/>
  <c r="AG158" i="1" s="1"/>
  <c r="AL158" i="1"/>
  <c r="AO158" i="1" s="1"/>
  <c r="AX158" i="1"/>
  <c r="BA158" i="1" s="1"/>
  <c r="BF158" i="1"/>
  <c r="BI158" i="1" s="1"/>
  <c r="BN158" i="1"/>
  <c r="BQ158" i="1" s="1"/>
  <c r="BV158" i="1"/>
  <c r="BY158" i="1" s="1"/>
  <c r="BU153" i="1"/>
  <c r="BE153" i="1"/>
  <c r="AO153" i="1"/>
  <c r="BE165" i="1"/>
  <c r="BA165" i="1"/>
  <c r="BI169" i="1"/>
  <c r="AW169" i="1"/>
  <c r="BE170" i="1"/>
  <c r="AC170" i="1"/>
  <c r="AO171" i="1"/>
  <c r="AO147" i="1"/>
  <c r="AW148" i="1"/>
  <c r="CC157" i="1"/>
  <c r="AS157" i="1"/>
  <c r="AO157" i="1"/>
  <c r="AG160" i="1"/>
  <c r="CC150" i="1"/>
  <c r="BM150" i="1"/>
  <c r="AW150" i="1"/>
  <c r="AG150" i="1"/>
  <c r="BQ152" i="1"/>
  <c r="BA152" i="1"/>
  <c r="AK152" i="1"/>
  <c r="BI162" i="1"/>
  <c r="CC162" i="1"/>
  <c r="BA162" i="1"/>
  <c r="BY163" i="1"/>
  <c r="AO163" i="1"/>
  <c r="BM163" i="1"/>
  <c r="AK163" i="1"/>
  <c r="BI167" i="1"/>
  <c r="CC167" i="1"/>
  <c r="AW167" i="1"/>
  <c r="CC168" i="1"/>
  <c r="AS168" i="1"/>
  <c r="AO168" i="1"/>
  <c r="Z145" i="1"/>
  <c r="AC145" i="1" s="1"/>
  <c r="AD145" i="1"/>
  <c r="AG145" i="1" s="1"/>
  <c r="AH145" i="1"/>
  <c r="AK145" i="1" s="1"/>
  <c r="AL145" i="1"/>
  <c r="AO145" i="1" s="1"/>
  <c r="AP145" i="1"/>
  <c r="AS145" i="1" s="1"/>
  <c r="AT145" i="1"/>
  <c r="AW145" i="1" s="1"/>
  <c r="AX145" i="1"/>
  <c r="BA145" i="1" s="1"/>
  <c r="BB145" i="1"/>
  <c r="BE145" i="1" s="1"/>
  <c r="BF145" i="1"/>
  <c r="BI145" i="1" s="1"/>
  <c r="BJ145" i="1"/>
  <c r="BM145" i="1" s="1"/>
  <c r="BN145" i="1"/>
  <c r="BQ145" i="1" s="1"/>
  <c r="BR145" i="1"/>
  <c r="BU145" i="1" s="1"/>
  <c r="BV145" i="1"/>
  <c r="BY145" i="1" s="1"/>
  <c r="BZ145" i="1"/>
  <c r="CC145" i="1" s="1"/>
  <c r="Z156" i="1"/>
  <c r="AC156" i="1" s="1"/>
  <c r="AH156" i="1"/>
  <c r="AK156" i="1" s="1"/>
  <c r="AP156" i="1"/>
  <c r="AS156" i="1" s="1"/>
  <c r="AX156" i="1"/>
  <c r="BA156" i="1" s="1"/>
  <c r="BF156" i="1"/>
  <c r="BI156" i="1" s="1"/>
  <c r="BN156" i="1"/>
  <c r="BQ156" i="1" s="1"/>
  <c r="BV156" i="1"/>
  <c r="BY156" i="1" s="1"/>
  <c r="AD156" i="1"/>
  <c r="AG156" i="1" s="1"/>
  <c r="AL156" i="1"/>
  <c r="AO156" i="1" s="1"/>
  <c r="AT156" i="1"/>
  <c r="AW156" i="1" s="1"/>
  <c r="BB156" i="1"/>
  <c r="BE156" i="1" s="1"/>
  <c r="BJ156" i="1"/>
  <c r="BM156" i="1" s="1"/>
  <c r="BR156" i="1"/>
  <c r="BU156" i="1" s="1"/>
  <c r="BZ156" i="1"/>
  <c r="CC156" i="1" s="1"/>
  <c r="AB10" i="1"/>
  <c r="AC10" i="1" s="1"/>
  <c r="AF10" i="1"/>
  <c r="AG10" i="1" s="1"/>
  <c r="AJ10" i="1"/>
  <c r="AK10" i="1" s="1"/>
  <c r="AN10" i="1"/>
  <c r="AO10" i="1" s="1"/>
  <c r="AR10" i="1"/>
  <c r="AS10" i="1" s="1"/>
  <c r="AV10" i="1"/>
  <c r="AW10" i="1" s="1"/>
  <c r="AZ10" i="1"/>
  <c r="BA10" i="1" s="1"/>
  <c r="BD10" i="1"/>
  <c r="BE10" i="1" s="1"/>
  <c r="BH10" i="1"/>
  <c r="BI10" i="1" s="1"/>
  <c r="BL10" i="1"/>
  <c r="BM10" i="1" s="1"/>
  <c r="BP10" i="1"/>
  <c r="BQ10" i="1" s="1"/>
  <c r="BT10" i="1"/>
  <c r="BU10" i="1" s="1"/>
  <c r="BX10" i="1"/>
  <c r="BY10" i="1" s="1"/>
  <c r="CB10" i="1"/>
  <c r="CC10" i="1" s="1"/>
  <c r="AO8" i="1"/>
  <c r="BI8" i="1"/>
  <c r="AC8" i="1"/>
  <c r="AJ15" i="1"/>
  <c r="AK15" i="1" s="1"/>
  <c r="AZ15" i="1"/>
  <c r="BD15" i="1"/>
  <c r="BH15" i="1"/>
  <c r="BI15" i="1" s="1"/>
  <c r="BL15" i="1"/>
  <c r="BM15" i="1" s="1"/>
  <c r="BP15" i="1"/>
  <c r="BT15" i="1"/>
  <c r="BX15" i="1"/>
  <c r="BY15" i="1" s="1"/>
  <c r="CB15" i="1"/>
  <c r="CC15" i="1" s="1"/>
  <c r="AF15" i="1"/>
  <c r="AG15" i="1" s="1"/>
  <c r="AV15" i="1"/>
  <c r="AN15" i="1"/>
  <c r="AR15" i="1"/>
  <c r="AB15" i="1"/>
  <c r="AC15" i="1" s="1"/>
  <c r="BM17" i="1"/>
  <c r="AG17" i="1"/>
  <c r="BU19" i="1"/>
  <c r="AA24" i="1"/>
  <c r="AE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AO11" i="1"/>
  <c r="BM16" i="1"/>
  <c r="AG16" i="1"/>
  <c r="AF23" i="1"/>
  <c r="AN23" i="1"/>
  <c r="AV23" i="1"/>
  <c r="BD23" i="1"/>
  <c r="BL23" i="1"/>
  <c r="BT23" i="1"/>
  <c r="CB23" i="1"/>
  <c r="AJ23" i="1"/>
  <c r="AZ23" i="1"/>
  <c r="BP23" i="1"/>
  <c r="BH23" i="1"/>
  <c r="AR23" i="1"/>
  <c r="AB23" i="1"/>
  <c r="BX23" i="1"/>
  <c r="BU11" i="1"/>
  <c r="BQ11" i="1"/>
  <c r="BE11" i="1"/>
  <c r="BE15" i="1"/>
  <c r="AO15" i="1"/>
  <c r="BM20" i="1"/>
  <c r="AD24" i="1"/>
  <c r="AG24" i="1" s="1"/>
  <c r="AT24" i="1"/>
  <c r="AW24" i="1" s="1"/>
  <c r="BJ24" i="1"/>
  <c r="BM24" i="1" s="1"/>
  <c r="BZ24" i="1"/>
  <c r="CC24" i="1" s="1"/>
  <c r="Z24" i="1"/>
  <c r="AC24" i="1" s="1"/>
  <c r="AP24" i="1"/>
  <c r="BF24" i="1"/>
  <c r="BI24" i="1" s="1"/>
  <c r="BV24" i="1"/>
  <c r="AX24" i="1"/>
  <c r="AH24" i="1"/>
  <c r="AL24" i="1"/>
  <c r="AO24" i="1" s="1"/>
  <c r="BB24" i="1"/>
  <c r="BE24" i="1" s="1"/>
  <c r="BN24" i="1"/>
  <c r="BR24" i="1"/>
  <c r="AK18" i="1"/>
  <c r="BE18" i="1"/>
  <c r="CC21" i="1"/>
  <c r="AG21" i="1"/>
  <c r="BU21" i="1"/>
  <c r="AB22" i="1"/>
  <c r="AF22" i="1"/>
  <c r="AG22" i="1" s="1"/>
  <c r="AJ22" i="1"/>
  <c r="AN22" i="1"/>
  <c r="AR22" i="1"/>
  <c r="AV22" i="1"/>
  <c r="AZ22" i="1"/>
  <c r="BH22" i="1"/>
  <c r="BI22" i="1" s="1"/>
  <c r="BP22" i="1"/>
  <c r="BX22" i="1"/>
  <c r="CB22" i="1"/>
  <c r="BL22" i="1"/>
  <c r="BT22" i="1"/>
  <c r="BD22" i="1"/>
  <c r="AH43" i="1"/>
  <c r="AK43" i="1" s="1"/>
  <c r="AX43" i="1"/>
  <c r="BA43" i="1" s="1"/>
  <c r="BN43" i="1"/>
  <c r="BQ43" i="1" s="1"/>
  <c r="AD43" i="1"/>
  <c r="AG43" i="1" s="1"/>
  <c r="AT43" i="1"/>
  <c r="AW43" i="1" s="1"/>
  <c r="BJ43" i="1"/>
  <c r="BM43" i="1" s="1"/>
  <c r="BZ43" i="1"/>
  <c r="CC43" i="1" s="1"/>
  <c r="Z43" i="1"/>
  <c r="AC43" i="1" s="1"/>
  <c r="AP43" i="1"/>
  <c r="AS43" i="1" s="1"/>
  <c r="BF43" i="1"/>
  <c r="BI43" i="1" s="1"/>
  <c r="BV43" i="1"/>
  <c r="BY43" i="1" s="1"/>
  <c r="BB43" i="1"/>
  <c r="BE43" i="1" s="1"/>
  <c r="AL43" i="1"/>
  <c r="AO43" i="1" s="1"/>
  <c r="BR43" i="1"/>
  <c r="BU43" i="1" s="1"/>
  <c r="W30" i="1"/>
  <c r="AJ38" i="1"/>
  <c r="AZ38" i="1"/>
  <c r="BA38" i="1" s="1"/>
  <c r="BP38" i="1"/>
  <c r="BQ38" i="1" s="1"/>
  <c r="AB38" i="1"/>
  <c r="BD38" i="1"/>
  <c r="BE38" i="1" s="1"/>
  <c r="BL38" i="1"/>
  <c r="BM38" i="1" s="1"/>
  <c r="AV38" i="1"/>
  <c r="AW38" i="1" s="1"/>
  <c r="BT38" i="1"/>
  <c r="CB38" i="1"/>
  <c r="CC38" i="1" s="1"/>
  <c r="AF38" i="1"/>
  <c r="AG38" i="1" s="1"/>
  <c r="AN38" i="1"/>
  <c r="BH38" i="1"/>
  <c r="BI38" i="1" s="1"/>
  <c r="AR38" i="1"/>
  <c r="AS38" i="1" s="1"/>
  <c r="BX38" i="1"/>
  <c r="BY38" i="1" s="1"/>
  <c r="AW44" i="1"/>
  <c r="BM45" i="1"/>
  <c r="BY22" i="1"/>
  <c r="BI28" i="1"/>
  <c r="AS28" i="1"/>
  <c r="AC28" i="1"/>
  <c r="CC35" i="1"/>
  <c r="BM35" i="1"/>
  <c r="AW35" i="1"/>
  <c r="AG35" i="1"/>
  <c r="BQ37" i="1"/>
  <c r="BA37" i="1"/>
  <c r="AK37" i="1"/>
  <c r="AC38" i="1"/>
  <c r="CC47" i="1"/>
  <c r="W23" i="1"/>
  <c r="CC46" i="1"/>
  <c r="Z31" i="1"/>
  <c r="AD31" i="1"/>
  <c r="AG31" i="1" s="1"/>
  <c r="AH31" i="1"/>
  <c r="AL31" i="1"/>
  <c r="AO31" i="1" s="1"/>
  <c r="AP31" i="1"/>
  <c r="AT31" i="1"/>
  <c r="AW31" i="1" s="1"/>
  <c r="AX31" i="1"/>
  <c r="BA31" i="1" s="1"/>
  <c r="BB31" i="1"/>
  <c r="BE31" i="1" s="1"/>
  <c r="BF31" i="1"/>
  <c r="BJ31" i="1"/>
  <c r="BM31" i="1" s="1"/>
  <c r="BN31" i="1"/>
  <c r="BR31" i="1"/>
  <c r="BU31" i="1" s="1"/>
  <c r="BV31" i="1"/>
  <c r="BY31" i="1" s="1"/>
  <c r="BZ31" i="1"/>
  <c r="CC31" i="1" s="1"/>
  <c r="BU49" i="1"/>
  <c r="BE49" i="1"/>
  <c r="AO49" i="1"/>
  <c r="R57" i="1"/>
  <c r="Y57" i="1" s="1"/>
  <c r="W57" i="1"/>
  <c r="Z65" i="1"/>
  <c r="AD65" i="1"/>
  <c r="AH65" i="1"/>
  <c r="AL65" i="1"/>
  <c r="AP65" i="1"/>
  <c r="AT65" i="1"/>
  <c r="AX65" i="1"/>
  <c r="BB65" i="1"/>
  <c r="BF65" i="1"/>
  <c r="BJ65" i="1"/>
  <c r="BN65" i="1"/>
  <c r="BR65" i="1"/>
  <c r="BV65" i="1"/>
  <c r="BZ65" i="1"/>
  <c r="AA68" i="1"/>
  <c r="AE68" i="1"/>
  <c r="AI68" i="1"/>
  <c r="AM68" i="1"/>
  <c r="AQ68" i="1"/>
  <c r="AU68" i="1"/>
  <c r="AY68" i="1"/>
  <c r="BC68" i="1"/>
  <c r="BG68" i="1"/>
  <c r="BK68" i="1"/>
  <c r="BO68" i="1"/>
  <c r="BS68" i="1"/>
  <c r="BW68" i="1"/>
  <c r="CA68" i="1"/>
  <c r="AB86" i="1"/>
  <c r="AF86" i="1"/>
  <c r="AG86" i="1" s="1"/>
  <c r="AJ86" i="1"/>
  <c r="AK86" i="1" s="1"/>
  <c r="AN86" i="1"/>
  <c r="AR86" i="1"/>
  <c r="AV86" i="1"/>
  <c r="AZ86" i="1"/>
  <c r="BA86" i="1" s="1"/>
  <c r="BD86" i="1"/>
  <c r="BE86" i="1" s="1"/>
  <c r="BH86" i="1"/>
  <c r="BL86" i="1"/>
  <c r="BP86" i="1"/>
  <c r="BQ86" i="1" s="1"/>
  <c r="BT86" i="1"/>
  <c r="BX86" i="1"/>
  <c r="CB86" i="1"/>
  <c r="AS48" i="1"/>
  <c r="AW48" i="1"/>
  <c r="Z64" i="1"/>
  <c r="AD64" i="1"/>
  <c r="AH64" i="1"/>
  <c r="AL64" i="1"/>
  <c r="AP64" i="1"/>
  <c r="AT64" i="1"/>
  <c r="AX64" i="1"/>
  <c r="BB64" i="1"/>
  <c r="BF64" i="1"/>
  <c r="BJ64" i="1"/>
  <c r="BN64" i="1"/>
  <c r="BR64" i="1"/>
  <c r="BV64" i="1"/>
  <c r="BZ64" i="1"/>
  <c r="AA67" i="1"/>
  <c r="AE67" i="1"/>
  <c r="AI67" i="1"/>
  <c r="AM67" i="1"/>
  <c r="AQ67" i="1"/>
  <c r="AU67" i="1"/>
  <c r="AY67" i="1"/>
  <c r="BC67" i="1"/>
  <c r="BG67" i="1"/>
  <c r="BK67" i="1"/>
  <c r="BO67" i="1"/>
  <c r="BS67" i="1"/>
  <c r="BW67" i="1"/>
  <c r="CA67" i="1"/>
  <c r="AB68" i="1"/>
  <c r="AF68" i="1"/>
  <c r="AJ68" i="1"/>
  <c r="AN68" i="1"/>
  <c r="AR68" i="1"/>
  <c r="AV68" i="1"/>
  <c r="AZ68" i="1"/>
  <c r="BD68" i="1"/>
  <c r="BH68" i="1"/>
  <c r="BL68" i="1"/>
  <c r="BP68" i="1"/>
  <c r="BT68" i="1"/>
  <c r="BX68" i="1"/>
  <c r="CB68" i="1"/>
  <c r="BQ71" i="1"/>
  <c r="AK71" i="1"/>
  <c r="BY79" i="1"/>
  <c r="BI79" i="1"/>
  <c r="AS79" i="1"/>
  <c r="AC79" i="1"/>
  <c r="Z63" i="1"/>
  <c r="AC63" i="1" s="1"/>
  <c r="AD63" i="1"/>
  <c r="AG63" i="1" s="1"/>
  <c r="AH63" i="1"/>
  <c r="AK63" i="1" s="1"/>
  <c r="AL63" i="1"/>
  <c r="AO63" i="1" s="1"/>
  <c r="AP63" i="1"/>
  <c r="AS63" i="1" s="1"/>
  <c r="AT63" i="1"/>
  <c r="AW63" i="1" s="1"/>
  <c r="AX63" i="1"/>
  <c r="BA63" i="1" s="1"/>
  <c r="BB63" i="1"/>
  <c r="BE63" i="1" s="1"/>
  <c r="BF63" i="1"/>
  <c r="BI63" i="1" s="1"/>
  <c r="BJ63" i="1"/>
  <c r="BM63" i="1" s="1"/>
  <c r="BN63" i="1"/>
  <c r="BQ63" i="1" s="1"/>
  <c r="BR63" i="1"/>
  <c r="BU63" i="1" s="1"/>
  <c r="BV63" i="1"/>
  <c r="BY63" i="1" s="1"/>
  <c r="BZ63" i="1"/>
  <c r="CC63" i="1" s="1"/>
  <c r="AB67" i="1"/>
  <c r="AF67" i="1"/>
  <c r="AJ67" i="1"/>
  <c r="AN67" i="1"/>
  <c r="AR67" i="1"/>
  <c r="AV67" i="1"/>
  <c r="AZ67" i="1"/>
  <c r="BD67" i="1"/>
  <c r="BH67" i="1"/>
  <c r="BL67" i="1"/>
  <c r="BP67" i="1"/>
  <c r="BT67" i="1"/>
  <c r="BX67" i="1"/>
  <c r="CB67" i="1"/>
  <c r="AF73" i="1"/>
  <c r="AN73" i="1"/>
  <c r="AO73" i="1" s="1"/>
  <c r="AV73" i="1"/>
  <c r="BD73" i="1"/>
  <c r="BE73" i="1" s="1"/>
  <c r="BL73" i="1"/>
  <c r="BT73" i="1"/>
  <c r="CB73" i="1"/>
  <c r="AB73" i="1"/>
  <c r="AC73" i="1" s="1"/>
  <c r="AJ73" i="1"/>
  <c r="AR73" i="1"/>
  <c r="AS73" i="1" s="1"/>
  <c r="AZ73" i="1"/>
  <c r="BH73" i="1"/>
  <c r="BI73" i="1" s="1"/>
  <c r="BP73" i="1"/>
  <c r="BQ73" i="1" s="1"/>
  <c r="BX73" i="1"/>
  <c r="BY73" i="1" s="1"/>
  <c r="CC86" i="1"/>
  <c r="BM86" i="1"/>
  <c r="AW86" i="1"/>
  <c r="Z76" i="1"/>
  <c r="AD76" i="1"/>
  <c r="AH76" i="1"/>
  <c r="AL76" i="1"/>
  <c r="AP76" i="1"/>
  <c r="AT76" i="1"/>
  <c r="AX76" i="1"/>
  <c r="BB76" i="1"/>
  <c r="BF76" i="1"/>
  <c r="BJ76" i="1"/>
  <c r="BN76" i="1"/>
  <c r="BR76" i="1"/>
  <c r="BV76" i="1"/>
  <c r="BZ76" i="1"/>
  <c r="BQ77" i="1"/>
  <c r="BA77" i="1"/>
  <c r="AK77" i="1"/>
  <c r="Z87" i="1"/>
  <c r="AD87" i="1"/>
  <c r="AH87" i="1"/>
  <c r="AL87" i="1"/>
  <c r="AP87" i="1"/>
  <c r="AT87" i="1"/>
  <c r="AX87" i="1"/>
  <c r="BB87" i="1"/>
  <c r="BF87" i="1"/>
  <c r="BJ87" i="1"/>
  <c r="BN87" i="1"/>
  <c r="BR87" i="1"/>
  <c r="BV87" i="1"/>
  <c r="BZ87" i="1"/>
  <c r="Z91" i="1"/>
  <c r="AD91" i="1"/>
  <c r="AH91" i="1"/>
  <c r="AL91" i="1"/>
  <c r="AP91" i="1"/>
  <c r="AT91" i="1"/>
  <c r="AX91" i="1"/>
  <c r="BB91" i="1"/>
  <c r="BF91" i="1"/>
  <c r="BJ91" i="1"/>
  <c r="BN91" i="1"/>
  <c r="BR91" i="1"/>
  <c r="BV91" i="1"/>
  <c r="BZ91" i="1"/>
  <c r="Z95" i="1"/>
  <c r="AD95" i="1"/>
  <c r="AH95" i="1"/>
  <c r="AL95" i="1"/>
  <c r="AP95" i="1"/>
  <c r="AT95" i="1"/>
  <c r="AX95" i="1"/>
  <c r="BB95" i="1"/>
  <c r="BF95" i="1"/>
  <c r="BJ95" i="1"/>
  <c r="BN95" i="1"/>
  <c r="BR95" i="1"/>
  <c r="BV95" i="1"/>
  <c r="BZ95" i="1"/>
  <c r="Z99" i="1"/>
  <c r="AD99" i="1"/>
  <c r="AH99" i="1"/>
  <c r="AL99" i="1"/>
  <c r="AP99" i="1"/>
  <c r="AT99" i="1"/>
  <c r="AX99" i="1"/>
  <c r="BB99" i="1"/>
  <c r="BF99" i="1"/>
  <c r="BJ99" i="1"/>
  <c r="BN99" i="1"/>
  <c r="BR99" i="1"/>
  <c r="BV99" i="1"/>
  <c r="BZ99" i="1"/>
  <c r="Z103" i="1"/>
  <c r="AD103" i="1"/>
  <c r="AH103" i="1"/>
  <c r="AL103" i="1"/>
  <c r="AP103" i="1"/>
  <c r="AT103" i="1"/>
  <c r="AX103" i="1"/>
  <c r="BB103" i="1"/>
  <c r="BF103" i="1"/>
  <c r="BJ103" i="1"/>
  <c r="BN103" i="1"/>
  <c r="BR103" i="1"/>
  <c r="BV103" i="1"/>
  <c r="BZ103" i="1"/>
  <c r="Z107" i="1"/>
  <c r="AD107" i="1"/>
  <c r="AH107" i="1"/>
  <c r="AL107" i="1"/>
  <c r="AP107" i="1"/>
  <c r="AT107" i="1"/>
  <c r="AX107" i="1"/>
  <c r="BB107" i="1"/>
  <c r="BF107" i="1"/>
  <c r="BJ107" i="1"/>
  <c r="BN107" i="1"/>
  <c r="BR107" i="1"/>
  <c r="BV107" i="1"/>
  <c r="BZ107" i="1"/>
  <c r="Z111" i="1"/>
  <c r="AD111" i="1"/>
  <c r="AH111" i="1"/>
  <c r="AL111" i="1"/>
  <c r="AP111" i="1"/>
  <c r="AT111" i="1"/>
  <c r="AX111" i="1"/>
  <c r="BB111" i="1"/>
  <c r="BF111" i="1"/>
  <c r="BJ111" i="1"/>
  <c r="BN111" i="1"/>
  <c r="BR111" i="1"/>
  <c r="BV111" i="1"/>
  <c r="BZ111" i="1"/>
  <c r="W65" i="1"/>
  <c r="Z90" i="1"/>
  <c r="AD90" i="1"/>
  <c r="AH90" i="1"/>
  <c r="AL90" i="1"/>
  <c r="AP90" i="1"/>
  <c r="AT90" i="1"/>
  <c r="AX90" i="1"/>
  <c r="BB90" i="1"/>
  <c r="BF90" i="1"/>
  <c r="BJ90" i="1"/>
  <c r="BN90" i="1"/>
  <c r="BR90" i="1"/>
  <c r="BV90" i="1"/>
  <c r="BZ90" i="1"/>
  <c r="R100" i="1"/>
  <c r="Y100" i="1" s="1"/>
  <c r="W100" i="1"/>
  <c r="R104" i="1"/>
  <c r="Y104" i="1" s="1"/>
  <c r="W104" i="1"/>
  <c r="R108" i="1"/>
  <c r="Y108" i="1" s="1"/>
  <c r="W108" i="1"/>
  <c r="R112" i="1"/>
  <c r="Y112" i="1" s="1"/>
  <c r="W112" i="1"/>
  <c r="R103" i="1"/>
  <c r="Y103" i="1" s="1"/>
  <c r="W103" i="1"/>
  <c r="CC117" i="1"/>
  <c r="BM117" i="1"/>
  <c r="AW117" i="1"/>
  <c r="AG117" i="1"/>
  <c r="BU121" i="1"/>
  <c r="BE121" i="1"/>
  <c r="AO121" i="1"/>
  <c r="CC125" i="1"/>
  <c r="BM125" i="1"/>
  <c r="AW125" i="1"/>
  <c r="AG125" i="1"/>
  <c r="BU129" i="1"/>
  <c r="BE129" i="1"/>
  <c r="AO129" i="1"/>
  <c r="BU73" i="1"/>
  <c r="BY126" i="1"/>
  <c r="BI126" i="1"/>
  <c r="AS126" i="1"/>
  <c r="AC126" i="1"/>
  <c r="BQ130" i="1"/>
  <c r="BA130" i="1"/>
  <c r="AK130" i="1"/>
  <c r="CC81" i="1"/>
  <c r="BM81" i="1"/>
  <c r="AW81" i="1"/>
  <c r="AG81" i="1"/>
  <c r="R87" i="1"/>
  <c r="Y87" i="1" s="1"/>
  <c r="W87" i="1"/>
  <c r="Z123" i="1"/>
  <c r="AC123" i="1" s="1"/>
  <c r="AD123" i="1"/>
  <c r="AG123" i="1" s="1"/>
  <c r="AH123" i="1"/>
  <c r="AK123" i="1" s="1"/>
  <c r="AL123" i="1"/>
  <c r="AO123" i="1" s="1"/>
  <c r="AP123" i="1"/>
  <c r="AS123" i="1" s="1"/>
  <c r="AT123" i="1"/>
  <c r="AW123" i="1" s="1"/>
  <c r="AX123" i="1"/>
  <c r="BA123" i="1" s="1"/>
  <c r="BB123" i="1"/>
  <c r="BE123" i="1" s="1"/>
  <c r="BF123" i="1"/>
  <c r="BI123" i="1" s="1"/>
  <c r="BJ123" i="1"/>
  <c r="BM123" i="1" s="1"/>
  <c r="BN123" i="1"/>
  <c r="BQ123" i="1" s="1"/>
  <c r="BR123" i="1"/>
  <c r="BU123" i="1" s="1"/>
  <c r="BV123" i="1"/>
  <c r="BY123" i="1" s="1"/>
  <c r="BZ123" i="1"/>
  <c r="CC123" i="1" s="1"/>
  <c r="BE132" i="1"/>
  <c r="Z136" i="1"/>
  <c r="AC136" i="1" s="1"/>
  <c r="AP136" i="1"/>
  <c r="AS136" i="1" s="1"/>
  <c r="BF136" i="1"/>
  <c r="BI136" i="1" s="1"/>
  <c r="BV136" i="1"/>
  <c r="BY136" i="1" s="1"/>
  <c r="AD136" i="1"/>
  <c r="AG136" i="1" s="1"/>
  <c r="AT136" i="1"/>
  <c r="AW136" i="1" s="1"/>
  <c r="BJ136" i="1"/>
  <c r="BM136" i="1" s="1"/>
  <c r="BZ136" i="1"/>
  <c r="CC136" i="1" s="1"/>
  <c r="AL136" i="1"/>
  <c r="AO136" i="1" s="1"/>
  <c r="BB136" i="1"/>
  <c r="BE136" i="1" s="1"/>
  <c r="BR136" i="1"/>
  <c r="BU136" i="1" s="1"/>
  <c r="AH136" i="1"/>
  <c r="AK136" i="1" s="1"/>
  <c r="AX136" i="1"/>
  <c r="BA136" i="1" s="1"/>
  <c r="BN136" i="1"/>
  <c r="BQ136" i="1" s="1"/>
  <c r="Z139" i="1"/>
  <c r="AC139" i="1" s="1"/>
  <c r="AP139" i="1"/>
  <c r="AS139" i="1" s="1"/>
  <c r="BF139" i="1"/>
  <c r="BI139" i="1" s="1"/>
  <c r="BV139" i="1"/>
  <c r="BY139" i="1" s="1"/>
  <c r="AD139" i="1"/>
  <c r="AG139" i="1" s="1"/>
  <c r="AT139" i="1"/>
  <c r="AW139" i="1" s="1"/>
  <c r="AL139" i="1"/>
  <c r="AO139" i="1" s="1"/>
  <c r="BB139" i="1"/>
  <c r="BE139" i="1" s="1"/>
  <c r="BR139" i="1"/>
  <c r="BU139" i="1" s="1"/>
  <c r="BJ139" i="1"/>
  <c r="BM139" i="1" s="1"/>
  <c r="BZ139" i="1"/>
  <c r="CC139" i="1" s="1"/>
  <c r="AH139" i="1"/>
  <c r="AK139" i="1" s="1"/>
  <c r="AX139" i="1"/>
  <c r="BA139" i="1" s="1"/>
  <c r="BN139" i="1"/>
  <c r="BQ139" i="1" s="1"/>
  <c r="Z142" i="1"/>
  <c r="AC142" i="1" s="1"/>
  <c r="AP142" i="1"/>
  <c r="AS142" i="1" s="1"/>
  <c r="BF142" i="1"/>
  <c r="BI142" i="1" s="1"/>
  <c r="BV142" i="1"/>
  <c r="BY142" i="1" s="1"/>
  <c r="AL142" i="1"/>
  <c r="AO142" i="1" s="1"/>
  <c r="BB142" i="1"/>
  <c r="BE142" i="1" s="1"/>
  <c r="BR142" i="1"/>
  <c r="BU142" i="1" s="1"/>
  <c r="AD142" i="1"/>
  <c r="AG142" i="1" s="1"/>
  <c r="BZ142" i="1"/>
  <c r="CC142" i="1" s="1"/>
  <c r="AH142" i="1"/>
  <c r="AK142" i="1" s="1"/>
  <c r="AX142" i="1"/>
  <c r="BA142" i="1" s="1"/>
  <c r="BN142" i="1"/>
  <c r="BQ142" i="1" s="1"/>
  <c r="AT142" i="1"/>
  <c r="AW142" i="1" s="1"/>
  <c r="BJ142" i="1"/>
  <c r="BM142" i="1" s="1"/>
  <c r="CC114" i="1"/>
  <c r="BM114" i="1"/>
  <c r="AW114" i="1"/>
  <c r="AG114" i="1"/>
  <c r="BQ118" i="1"/>
  <c r="BA118" i="1"/>
  <c r="AK118" i="1"/>
  <c r="BU122" i="1"/>
  <c r="BE122" i="1"/>
  <c r="AO122" i="1"/>
  <c r="Z149" i="1"/>
  <c r="AC149" i="1" s="1"/>
  <c r="AD149" i="1"/>
  <c r="AG149" i="1" s="1"/>
  <c r="AH149" i="1"/>
  <c r="AK149" i="1" s="1"/>
  <c r="AL149" i="1"/>
  <c r="AO149" i="1" s="1"/>
  <c r="AP149" i="1"/>
  <c r="AS149" i="1" s="1"/>
  <c r="AT149" i="1"/>
  <c r="AW149" i="1" s="1"/>
  <c r="AX149" i="1"/>
  <c r="BA149" i="1" s="1"/>
  <c r="BB149" i="1"/>
  <c r="BE149" i="1" s="1"/>
  <c r="BF149" i="1"/>
  <c r="BI149" i="1" s="1"/>
  <c r="BJ149" i="1"/>
  <c r="BM149" i="1" s="1"/>
  <c r="BN149" i="1"/>
  <c r="BQ149" i="1" s="1"/>
  <c r="BR149" i="1"/>
  <c r="BU149" i="1" s="1"/>
  <c r="BV149" i="1"/>
  <c r="BY149" i="1" s="1"/>
  <c r="BZ149" i="1"/>
  <c r="CC149" i="1" s="1"/>
  <c r="Z172" i="1"/>
  <c r="AC172" i="1" s="1"/>
  <c r="AH172" i="1"/>
  <c r="AK172" i="1" s="1"/>
  <c r="AT172" i="1"/>
  <c r="AW172" i="1" s="1"/>
  <c r="BB172" i="1"/>
  <c r="BE172" i="1" s="1"/>
  <c r="BF172" i="1"/>
  <c r="BI172" i="1" s="1"/>
  <c r="BN172" i="1"/>
  <c r="BQ172" i="1" s="1"/>
  <c r="BV172" i="1"/>
  <c r="BY172" i="1" s="1"/>
  <c r="AD172" i="1"/>
  <c r="AG172" i="1" s="1"/>
  <c r="AL172" i="1"/>
  <c r="AO172" i="1" s="1"/>
  <c r="AP172" i="1"/>
  <c r="AS172" i="1" s="1"/>
  <c r="AX172" i="1"/>
  <c r="BA172" i="1" s="1"/>
  <c r="BJ172" i="1"/>
  <c r="BM172" i="1" s="1"/>
  <c r="BR172" i="1"/>
  <c r="BU172" i="1" s="1"/>
  <c r="BZ172" i="1"/>
  <c r="CC172" i="1" s="1"/>
  <c r="AW165" i="1"/>
  <c r="BU165" i="1"/>
  <c r="AS165" i="1"/>
  <c r="BA169" i="1"/>
  <c r="BU169" i="1"/>
  <c r="AO169" i="1"/>
  <c r="AW170" i="1"/>
  <c r="BE171" i="1"/>
  <c r="AG171" i="1"/>
  <c r="AW171" i="1"/>
  <c r="BA147" i="1"/>
  <c r="AK147" i="1"/>
  <c r="AS148" i="1"/>
  <c r="AC148" i="1"/>
  <c r="BE155" i="1"/>
  <c r="AK157" i="1"/>
  <c r="BA160" i="1"/>
  <c r="BE160" i="1"/>
  <c r="BY150" i="1"/>
  <c r="BI150" i="1"/>
  <c r="AS150" i="1"/>
  <c r="AC150" i="1"/>
  <c r="BM152" i="1"/>
  <c r="AW152" i="1"/>
  <c r="AG152" i="1"/>
  <c r="AW162" i="1"/>
  <c r="BU162" i="1"/>
  <c r="AS162" i="1"/>
  <c r="BQ163" i="1"/>
  <c r="AG163" i="1"/>
  <c r="BE163" i="1"/>
  <c r="AC163" i="1"/>
  <c r="BA167" i="1"/>
  <c r="BU167" i="1"/>
  <c r="AO167" i="1"/>
  <c r="AK168" i="1"/>
  <c r="BI168" i="1"/>
  <c r="AG168" i="1"/>
  <c r="AL154" i="1"/>
  <c r="AO154" i="1" s="1"/>
  <c r="AX154" i="1"/>
  <c r="BA154" i="1" s="1"/>
  <c r="BF154" i="1"/>
  <c r="BI154" i="1" s="1"/>
  <c r="BN154" i="1"/>
  <c r="BQ154" i="1" s="1"/>
  <c r="BR154" i="1"/>
  <c r="BU154" i="1" s="1"/>
  <c r="BZ154" i="1"/>
  <c r="CC154" i="1" s="1"/>
  <c r="Z154" i="1"/>
  <c r="AC154" i="1" s="1"/>
  <c r="AD154" i="1"/>
  <c r="AG154" i="1" s="1"/>
  <c r="AH154" i="1"/>
  <c r="AK154" i="1" s="1"/>
  <c r="AP154" i="1"/>
  <c r="AS154" i="1" s="1"/>
  <c r="AT154" i="1"/>
  <c r="AW154" i="1" s="1"/>
  <c r="BB154" i="1"/>
  <c r="BE154" i="1" s="1"/>
  <c r="BJ154" i="1"/>
  <c r="BM154" i="1" s="1"/>
  <c r="BV154" i="1"/>
  <c r="BY154" i="1" s="1"/>
  <c r="Z173" i="1"/>
  <c r="AC173" i="1" s="1"/>
  <c r="AH173" i="1"/>
  <c r="AK173" i="1" s="1"/>
  <c r="AP173" i="1"/>
  <c r="AS173" i="1" s="1"/>
  <c r="AX173" i="1"/>
  <c r="BA173" i="1" s="1"/>
  <c r="BF173" i="1"/>
  <c r="BI173" i="1" s="1"/>
  <c r="BN173" i="1"/>
  <c r="BQ173" i="1" s="1"/>
  <c r="BV173" i="1"/>
  <c r="BY173" i="1" s="1"/>
  <c r="AD173" i="1"/>
  <c r="AG173" i="1" s="1"/>
  <c r="AL173" i="1"/>
  <c r="AO173" i="1" s="1"/>
  <c r="AT173" i="1"/>
  <c r="AW173" i="1" s="1"/>
  <c r="BB173" i="1"/>
  <c r="BE173" i="1" s="1"/>
  <c r="BJ173" i="1"/>
  <c r="BM173" i="1" s="1"/>
  <c r="BR173" i="1"/>
  <c r="BU173" i="1" s="1"/>
  <c r="BZ173" i="1"/>
  <c r="CC173" i="1" s="1"/>
  <c r="AB54" i="1" l="1"/>
  <c r="AR54" i="1"/>
  <c r="BH54" i="1"/>
  <c r="BX54" i="1"/>
  <c r="AN54" i="1"/>
  <c r="BD54" i="1"/>
  <c r="BT54" i="1"/>
  <c r="AJ54" i="1"/>
  <c r="AZ54" i="1"/>
  <c r="BP54" i="1"/>
  <c r="AV54" i="1"/>
  <c r="AF54" i="1"/>
  <c r="CB54" i="1"/>
  <c r="BL54" i="1"/>
  <c r="AN55" i="1"/>
  <c r="BD55" i="1"/>
  <c r="BT55" i="1"/>
  <c r="AJ55" i="1"/>
  <c r="AZ55" i="1"/>
  <c r="BP55" i="1"/>
  <c r="AF55" i="1"/>
  <c r="AV55" i="1"/>
  <c r="BL55" i="1"/>
  <c r="CB55" i="1"/>
  <c r="AB55" i="1"/>
  <c r="BX55" i="1"/>
  <c r="BH55" i="1"/>
  <c r="AR55" i="1"/>
  <c r="AB40" i="1"/>
  <c r="AR40" i="1"/>
  <c r="BH40" i="1"/>
  <c r="BX40" i="1"/>
  <c r="AF40" i="1"/>
  <c r="AN40" i="1"/>
  <c r="BP40" i="1"/>
  <c r="AV40" i="1"/>
  <c r="BD40" i="1"/>
  <c r="AJ40" i="1"/>
  <c r="BL40" i="1"/>
  <c r="BT40" i="1"/>
  <c r="AZ40" i="1"/>
  <c r="CB40" i="1"/>
  <c r="AM32" i="1"/>
  <c r="AO32" i="1" s="1"/>
  <c r="BC32" i="1"/>
  <c r="BS32" i="1"/>
  <c r="AE32" i="1"/>
  <c r="BG32" i="1"/>
  <c r="BI32" i="1" s="1"/>
  <c r="BO32" i="1"/>
  <c r="AU32" i="1"/>
  <c r="BW32" i="1"/>
  <c r="AA32" i="1"/>
  <c r="AC32" i="1" s="1"/>
  <c r="AI32" i="1"/>
  <c r="BK32" i="1"/>
  <c r="AQ32" i="1"/>
  <c r="AY32" i="1"/>
  <c r="BA32" i="1" s="1"/>
  <c r="CA32" i="1"/>
  <c r="AB12" i="1"/>
  <c r="AF12" i="1"/>
  <c r="AJ12" i="1"/>
  <c r="AN12" i="1"/>
  <c r="AR12" i="1"/>
  <c r="AV12" i="1"/>
  <c r="AZ12" i="1"/>
  <c r="BD12" i="1"/>
  <c r="BH12" i="1"/>
  <c r="BL12" i="1"/>
  <c r="BP12" i="1"/>
  <c r="BT12" i="1"/>
  <c r="BX12" i="1"/>
  <c r="CB12" i="1"/>
  <c r="AI29" i="1"/>
  <c r="AK29" i="1" s="1"/>
  <c r="AY29" i="1"/>
  <c r="BO29" i="1"/>
  <c r="AM29" i="1"/>
  <c r="AU29" i="1"/>
  <c r="AW29" i="1" s="1"/>
  <c r="BW29" i="1"/>
  <c r="AA29" i="1"/>
  <c r="BC29" i="1"/>
  <c r="BK29" i="1"/>
  <c r="BM29" i="1" s="1"/>
  <c r="AQ29" i="1"/>
  <c r="BS29" i="1"/>
  <c r="CA29" i="1"/>
  <c r="AE29" i="1"/>
  <c r="BG29" i="1"/>
  <c r="BM141" i="1"/>
  <c r="BU141" i="1"/>
  <c r="AG141" i="1"/>
  <c r="AC141" i="1"/>
  <c r="AK143" i="1"/>
  <c r="AC143" i="1"/>
  <c r="AA99" i="1"/>
  <c r="AC99" i="1" s="1"/>
  <c r="AE99" i="1"/>
  <c r="AI99" i="1"/>
  <c r="AM99" i="1"/>
  <c r="AQ99" i="1"/>
  <c r="AS99" i="1" s="1"/>
  <c r="AU99" i="1"/>
  <c r="AY99" i="1"/>
  <c r="BC99" i="1"/>
  <c r="BG99" i="1"/>
  <c r="BI99" i="1" s="1"/>
  <c r="BK99" i="1"/>
  <c r="BO99" i="1"/>
  <c r="BS99" i="1"/>
  <c r="BW99" i="1"/>
  <c r="CA99" i="1"/>
  <c r="AA62" i="1"/>
  <c r="AE62" i="1"/>
  <c r="AI62" i="1"/>
  <c r="AK62" i="1" s="1"/>
  <c r="AM62" i="1"/>
  <c r="AQ62" i="1"/>
  <c r="AU62" i="1"/>
  <c r="AY62" i="1"/>
  <c r="BA62" i="1" s="1"/>
  <c r="BC62" i="1"/>
  <c r="BG62" i="1"/>
  <c r="BK62" i="1"/>
  <c r="BO62" i="1"/>
  <c r="BQ62" i="1" s="1"/>
  <c r="BS62" i="1"/>
  <c r="BW62" i="1"/>
  <c r="CA62" i="1"/>
  <c r="BU62" i="1"/>
  <c r="AA78" i="1"/>
  <c r="AE78" i="1"/>
  <c r="AI78" i="1"/>
  <c r="AM78" i="1"/>
  <c r="AQ78" i="1"/>
  <c r="AU78" i="1"/>
  <c r="AY78" i="1"/>
  <c r="BC78" i="1"/>
  <c r="BG78" i="1"/>
  <c r="BK78" i="1"/>
  <c r="BM78" i="1" s="1"/>
  <c r="BO78" i="1"/>
  <c r="BS78" i="1"/>
  <c r="BW78" i="1"/>
  <c r="CA78" i="1"/>
  <c r="CC78" i="1" s="1"/>
  <c r="BY68" i="1"/>
  <c r="BI68" i="1"/>
  <c r="AS68" i="1"/>
  <c r="AC68" i="1"/>
  <c r="AC36" i="1"/>
  <c r="AA53" i="1"/>
  <c r="AQ53" i="1"/>
  <c r="BG53" i="1"/>
  <c r="BW53" i="1"/>
  <c r="BY53" i="1" s="1"/>
  <c r="AM53" i="1"/>
  <c r="BC53" i="1"/>
  <c r="BS53" i="1"/>
  <c r="AI53" i="1"/>
  <c r="AK53" i="1" s="1"/>
  <c r="AY53" i="1"/>
  <c r="BO53" i="1"/>
  <c r="AU53" i="1"/>
  <c r="AE53" i="1"/>
  <c r="CA53" i="1"/>
  <c r="BK53" i="1"/>
  <c r="BM26" i="1"/>
  <c r="AI33" i="1"/>
  <c r="AK33" i="1" s="1"/>
  <c r="AY33" i="1"/>
  <c r="BO33" i="1"/>
  <c r="AM33" i="1"/>
  <c r="AU33" i="1"/>
  <c r="AW33" i="1" s="1"/>
  <c r="BW33" i="1"/>
  <c r="AA33" i="1"/>
  <c r="BC33" i="1"/>
  <c r="BK33" i="1"/>
  <c r="BM33" i="1" s="1"/>
  <c r="AQ33" i="1"/>
  <c r="BS33" i="1"/>
  <c r="AE33" i="1"/>
  <c r="BG33" i="1"/>
  <c r="CA33" i="1"/>
  <c r="AB96" i="1"/>
  <c r="AF96" i="1"/>
  <c r="AJ96" i="1"/>
  <c r="AN96" i="1"/>
  <c r="AR96" i="1"/>
  <c r="AV96" i="1"/>
  <c r="AZ96" i="1"/>
  <c r="BD96" i="1"/>
  <c r="BH96" i="1"/>
  <c r="BL96" i="1"/>
  <c r="BP96" i="1"/>
  <c r="BT96" i="1"/>
  <c r="BX96" i="1"/>
  <c r="CB96" i="1"/>
  <c r="BY66" i="1"/>
  <c r="BY67" i="1"/>
  <c r="BI67" i="1"/>
  <c r="AS67" i="1"/>
  <c r="AC67" i="1"/>
  <c r="CC69" i="1"/>
  <c r="BM69" i="1"/>
  <c r="AW69" i="1"/>
  <c r="AG69" i="1"/>
  <c r="BU61" i="1"/>
  <c r="AJ27" i="1"/>
  <c r="AZ27" i="1"/>
  <c r="AF27" i="1"/>
  <c r="AV27" i="1"/>
  <c r="AN27" i="1"/>
  <c r="BH27" i="1"/>
  <c r="BP27" i="1"/>
  <c r="BX27" i="1"/>
  <c r="BL27" i="1"/>
  <c r="AB27" i="1"/>
  <c r="AR27" i="1"/>
  <c r="BD27" i="1"/>
  <c r="CB27" i="1"/>
  <c r="BT27" i="1"/>
  <c r="AO25" i="1"/>
  <c r="BI25" i="1"/>
  <c r="BM25" i="1"/>
  <c r="AN41" i="1"/>
  <c r="BD41" i="1"/>
  <c r="BT41" i="1"/>
  <c r="AV41" i="1"/>
  <c r="BX41" i="1"/>
  <c r="AB41" i="1"/>
  <c r="AJ41" i="1"/>
  <c r="BL41" i="1"/>
  <c r="AR41" i="1"/>
  <c r="AZ41" i="1"/>
  <c r="AF41" i="1"/>
  <c r="BH41" i="1"/>
  <c r="BP41" i="1"/>
  <c r="CB41" i="1"/>
  <c r="AE56" i="1"/>
  <c r="AU56" i="1"/>
  <c r="BK56" i="1"/>
  <c r="CA56" i="1"/>
  <c r="AA56" i="1"/>
  <c r="AQ56" i="1"/>
  <c r="BG56" i="1"/>
  <c r="BW56" i="1"/>
  <c r="AM56" i="1"/>
  <c r="BC56" i="1"/>
  <c r="BS56" i="1"/>
  <c r="AI56" i="1"/>
  <c r="AK56" i="1" s="1"/>
  <c r="BO56" i="1"/>
  <c r="AY56" i="1"/>
  <c r="AB60" i="1"/>
  <c r="AF60" i="1"/>
  <c r="AJ60" i="1"/>
  <c r="AN60" i="1"/>
  <c r="AR60" i="1"/>
  <c r="AV60" i="1"/>
  <c r="AZ60" i="1"/>
  <c r="BD60" i="1"/>
  <c r="BH60" i="1"/>
  <c r="BL60" i="1"/>
  <c r="BP60" i="1"/>
  <c r="BT60" i="1"/>
  <c r="BX60" i="1"/>
  <c r="CB60" i="1"/>
  <c r="AI14" i="1"/>
  <c r="AY14" i="1"/>
  <c r="BO14" i="1"/>
  <c r="AE14" i="1"/>
  <c r="AG14" i="1" s="1"/>
  <c r="AU14" i="1"/>
  <c r="BK14" i="1"/>
  <c r="CA14" i="1"/>
  <c r="AM14" i="1"/>
  <c r="AO14" i="1" s="1"/>
  <c r="BS14" i="1"/>
  <c r="AQ14" i="1"/>
  <c r="BW14" i="1"/>
  <c r="BC14" i="1"/>
  <c r="BE14" i="1" s="1"/>
  <c r="BG14" i="1"/>
  <c r="AA14" i="1"/>
  <c r="BA12" i="1"/>
  <c r="AB100" i="1"/>
  <c r="AF100" i="1"/>
  <c r="AJ100" i="1"/>
  <c r="AN100" i="1"/>
  <c r="AR100" i="1"/>
  <c r="AV100" i="1"/>
  <c r="AZ100" i="1"/>
  <c r="BD100" i="1"/>
  <c r="BH100" i="1"/>
  <c r="BL100" i="1"/>
  <c r="BP100" i="1"/>
  <c r="BT100" i="1"/>
  <c r="BX100" i="1"/>
  <c r="CB100" i="1"/>
  <c r="BY76" i="1"/>
  <c r="BY64" i="1"/>
  <c r="AA57" i="1"/>
  <c r="AC57" i="1" s="1"/>
  <c r="AQ57" i="1"/>
  <c r="BG57" i="1"/>
  <c r="BW57" i="1"/>
  <c r="AM57" i="1"/>
  <c r="AO57" i="1" s="1"/>
  <c r="BC57" i="1"/>
  <c r="BS57" i="1"/>
  <c r="AI57" i="1"/>
  <c r="AY57" i="1"/>
  <c r="BA57" i="1" s="1"/>
  <c r="BO57" i="1"/>
  <c r="BK57" i="1"/>
  <c r="AU57" i="1"/>
  <c r="AE57" i="1"/>
  <c r="AG57" i="1" s="1"/>
  <c r="CA57" i="1"/>
  <c r="AE30" i="1"/>
  <c r="AG30" i="1" s="1"/>
  <c r="AU30" i="1"/>
  <c r="AW30" i="1" s="1"/>
  <c r="BK30" i="1"/>
  <c r="BM30" i="1" s="1"/>
  <c r="CA30" i="1"/>
  <c r="CC30" i="1" s="1"/>
  <c r="AA30" i="1"/>
  <c r="AC30" i="1" s="1"/>
  <c r="BC30" i="1"/>
  <c r="BE30" i="1" s="1"/>
  <c r="AI30" i="1"/>
  <c r="AK30" i="1" s="1"/>
  <c r="AQ30" i="1"/>
  <c r="AS30" i="1" s="1"/>
  <c r="BS30" i="1"/>
  <c r="BU30" i="1" s="1"/>
  <c r="AY30" i="1"/>
  <c r="BA30" i="1" s="1"/>
  <c r="BG30" i="1"/>
  <c r="BI30" i="1" s="1"/>
  <c r="AM30" i="1"/>
  <c r="AO30" i="1" s="1"/>
  <c r="BO30" i="1"/>
  <c r="BQ30" i="1" s="1"/>
  <c r="BW30" i="1"/>
  <c r="BY30" i="1" s="1"/>
  <c r="AA95" i="1"/>
  <c r="AC95" i="1" s="1"/>
  <c r="AE95" i="1"/>
  <c r="AI95" i="1"/>
  <c r="AM95" i="1"/>
  <c r="AQ95" i="1"/>
  <c r="AS95" i="1" s="1"/>
  <c r="AU95" i="1"/>
  <c r="AY95" i="1"/>
  <c r="BC95" i="1"/>
  <c r="BG95" i="1"/>
  <c r="BI95" i="1" s="1"/>
  <c r="BK95" i="1"/>
  <c r="BO95" i="1"/>
  <c r="BS95" i="1"/>
  <c r="BW95" i="1"/>
  <c r="BY95" i="1" s="1"/>
  <c r="CA95" i="1"/>
  <c r="AB50" i="1"/>
  <c r="AR50" i="1"/>
  <c r="BH50" i="1"/>
  <c r="BX50" i="1"/>
  <c r="AN50" i="1"/>
  <c r="BD50" i="1"/>
  <c r="BT50" i="1"/>
  <c r="AJ50" i="1"/>
  <c r="AZ50" i="1"/>
  <c r="BA50" i="1" s="1"/>
  <c r="BP50" i="1"/>
  <c r="AF50" i="1"/>
  <c r="AG50" i="1" s="1"/>
  <c r="CB50" i="1"/>
  <c r="BL50" i="1"/>
  <c r="AV50" i="1"/>
  <c r="BQ50" i="1"/>
  <c r="AK50" i="1"/>
  <c r="BI94" i="1"/>
  <c r="AA109" i="1"/>
  <c r="AE109" i="1"/>
  <c r="AG109" i="1" s="1"/>
  <c r="AI109" i="1"/>
  <c r="AM109" i="1"/>
  <c r="AQ109" i="1"/>
  <c r="AU109" i="1"/>
  <c r="AW109" i="1" s="1"/>
  <c r="AY109" i="1"/>
  <c r="BC109" i="1"/>
  <c r="BG109" i="1"/>
  <c r="BK109" i="1"/>
  <c r="BM109" i="1" s="1"/>
  <c r="BO109" i="1"/>
  <c r="BS109" i="1"/>
  <c r="BW109" i="1"/>
  <c r="CA109" i="1"/>
  <c r="CC109" i="1" s="1"/>
  <c r="AA101" i="1"/>
  <c r="AE101" i="1"/>
  <c r="AI101" i="1"/>
  <c r="AM101" i="1"/>
  <c r="AO101" i="1" s="1"/>
  <c r="AQ101" i="1"/>
  <c r="AU101" i="1"/>
  <c r="AY101" i="1"/>
  <c r="BC101" i="1"/>
  <c r="BE101" i="1" s="1"/>
  <c r="BG101" i="1"/>
  <c r="BK101" i="1"/>
  <c r="BO101" i="1"/>
  <c r="BS101" i="1"/>
  <c r="BU101" i="1" s="1"/>
  <c r="BW101" i="1"/>
  <c r="CA101" i="1"/>
  <c r="AA93" i="1"/>
  <c r="AE93" i="1"/>
  <c r="AG93" i="1" s="1"/>
  <c r="AI93" i="1"/>
  <c r="AM93" i="1"/>
  <c r="AQ93" i="1"/>
  <c r="AU93" i="1"/>
  <c r="AW93" i="1" s="1"/>
  <c r="AY93" i="1"/>
  <c r="BC93" i="1"/>
  <c r="BG93" i="1"/>
  <c r="BK93" i="1"/>
  <c r="BM93" i="1" s="1"/>
  <c r="BO93" i="1"/>
  <c r="BS93" i="1"/>
  <c r="BW93" i="1"/>
  <c r="CA93" i="1"/>
  <c r="CC93" i="1" s="1"/>
  <c r="AA90" i="1"/>
  <c r="AE90" i="1"/>
  <c r="AG90" i="1" s="1"/>
  <c r="AI90" i="1"/>
  <c r="AM90" i="1"/>
  <c r="AO90" i="1" s="1"/>
  <c r="AQ90" i="1"/>
  <c r="AU90" i="1"/>
  <c r="AY90" i="1"/>
  <c r="BC90" i="1"/>
  <c r="BE90" i="1" s="1"/>
  <c r="BG90" i="1"/>
  <c r="BK90" i="1"/>
  <c r="BM90" i="1" s="1"/>
  <c r="BO90" i="1"/>
  <c r="BS90" i="1"/>
  <c r="BU90" i="1" s="1"/>
  <c r="BW90" i="1"/>
  <c r="CA90" i="1"/>
  <c r="BE60" i="1"/>
  <c r="AB112" i="1"/>
  <c r="AF112" i="1"/>
  <c r="AJ112" i="1"/>
  <c r="AN112" i="1"/>
  <c r="AR112" i="1"/>
  <c r="AV112" i="1"/>
  <c r="AZ112" i="1"/>
  <c r="BD112" i="1"/>
  <c r="BH112" i="1"/>
  <c r="BL112" i="1"/>
  <c r="BP112" i="1"/>
  <c r="BT112" i="1"/>
  <c r="BX112" i="1"/>
  <c r="CB112" i="1"/>
  <c r="AA108" i="1"/>
  <c r="AC108" i="1" s="1"/>
  <c r="AE108" i="1"/>
  <c r="AI108" i="1"/>
  <c r="AM108" i="1"/>
  <c r="AQ108" i="1"/>
  <c r="AS108" i="1" s="1"/>
  <c r="AU108" i="1"/>
  <c r="AY108" i="1"/>
  <c r="BC108" i="1"/>
  <c r="BG108" i="1"/>
  <c r="BI108" i="1" s="1"/>
  <c r="BK108" i="1"/>
  <c r="BO108" i="1"/>
  <c r="BS108" i="1"/>
  <c r="BW108" i="1"/>
  <c r="BY108" i="1" s="1"/>
  <c r="CA108" i="1"/>
  <c r="AW90" i="1"/>
  <c r="AO111" i="1"/>
  <c r="AG107" i="1"/>
  <c r="CC99" i="1"/>
  <c r="BU95" i="1"/>
  <c r="AO76" i="1"/>
  <c r="BU65" i="1"/>
  <c r="AF57" i="1"/>
  <c r="AV57" i="1"/>
  <c r="BL57" i="1"/>
  <c r="CB57" i="1"/>
  <c r="AB57" i="1"/>
  <c r="AR57" i="1"/>
  <c r="BH57" i="1"/>
  <c r="BX57" i="1"/>
  <c r="AN57" i="1"/>
  <c r="BD57" i="1"/>
  <c r="BT57" i="1"/>
  <c r="BP57" i="1"/>
  <c r="AZ57" i="1"/>
  <c r="AJ57" i="1"/>
  <c r="BI31" i="1"/>
  <c r="AS31" i="1"/>
  <c r="AC31" i="1"/>
  <c r="BU24" i="1"/>
  <c r="AK24" i="1"/>
  <c r="AS24" i="1"/>
  <c r="AB95" i="1"/>
  <c r="AF95" i="1"/>
  <c r="AG95" i="1" s="1"/>
  <c r="AJ95" i="1"/>
  <c r="AN95" i="1"/>
  <c r="AO95" i="1" s="1"/>
  <c r="AR95" i="1"/>
  <c r="AV95" i="1"/>
  <c r="AW95" i="1" s="1"/>
  <c r="AZ95" i="1"/>
  <c r="BD95" i="1"/>
  <c r="BE95" i="1" s="1"/>
  <c r="BH95" i="1"/>
  <c r="BL95" i="1"/>
  <c r="BM95" i="1" s="1"/>
  <c r="BP95" i="1"/>
  <c r="BT95" i="1"/>
  <c r="BX95" i="1"/>
  <c r="CB95" i="1"/>
  <c r="AA107" i="1"/>
  <c r="AE107" i="1"/>
  <c r="AI107" i="1"/>
  <c r="AK107" i="1" s="1"/>
  <c r="AM107" i="1"/>
  <c r="AQ107" i="1"/>
  <c r="AU107" i="1"/>
  <c r="AW107" i="1" s="1"/>
  <c r="AY107" i="1"/>
  <c r="BC107" i="1"/>
  <c r="BE107" i="1" s="1"/>
  <c r="BG107" i="1"/>
  <c r="BK107" i="1"/>
  <c r="BM107" i="1" s="1"/>
  <c r="BO107" i="1"/>
  <c r="BS107" i="1"/>
  <c r="BU107" i="1" s="1"/>
  <c r="BW107" i="1"/>
  <c r="CA107" i="1"/>
  <c r="CC107" i="1" s="1"/>
  <c r="CC50" i="1"/>
  <c r="BM50" i="1"/>
  <c r="AW50" i="1"/>
  <c r="AA88" i="1"/>
  <c r="AE88" i="1"/>
  <c r="AI88" i="1"/>
  <c r="AM88" i="1"/>
  <c r="AQ88" i="1"/>
  <c r="AU88" i="1"/>
  <c r="AY88" i="1"/>
  <c r="BC88" i="1"/>
  <c r="BG88" i="1"/>
  <c r="BK88" i="1"/>
  <c r="BO88" i="1"/>
  <c r="BS88" i="1"/>
  <c r="BW88" i="1"/>
  <c r="CA88" i="1"/>
  <c r="AB109" i="1"/>
  <c r="AF109" i="1"/>
  <c r="AJ109" i="1"/>
  <c r="AN109" i="1"/>
  <c r="AR109" i="1"/>
  <c r="AV109" i="1"/>
  <c r="AZ109" i="1"/>
  <c r="BD109" i="1"/>
  <c r="BH109" i="1"/>
  <c r="BL109" i="1"/>
  <c r="BP109" i="1"/>
  <c r="BT109" i="1"/>
  <c r="BX109" i="1"/>
  <c r="CB109" i="1"/>
  <c r="AB101" i="1"/>
  <c r="AF101" i="1"/>
  <c r="AJ101" i="1"/>
  <c r="AN101" i="1"/>
  <c r="AR101" i="1"/>
  <c r="AV101" i="1"/>
  <c r="AZ101" i="1"/>
  <c r="BD101" i="1"/>
  <c r="BH101" i="1"/>
  <c r="BL101" i="1"/>
  <c r="BP101" i="1"/>
  <c r="BT101" i="1"/>
  <c r="BX101" i="1"/>
  <c r="CB101" i="1"/>
  <c r="AB93" i="1"/>
  <c r="AF93" i="1"/>
  <c r="AJ93" i="1"/>
  <c r="AN93" i="1"/>
  <c r="AR93" i="1"/>
  <c r="AV93" i="1"/>
  <c r="AZ93" i="1"/>
  <c r="BD93" i="1"/>
  <c r="BH93" i="1"/>
  <c r="BL93" i="1"/>
  <c r="BP93" i="1"/>
  <c r="BT93" i="1"/>
  <c r="BX93" i="1"/>
  <c r="CB93" i="1"/>
  <c r="AB90" i="1"/>
  <c r="AC90" i="1" s="1"/>
  <c r="AF90" i="1"/>
  <c r="AJ90" i="1"/>
  <c r="AK90" i="1" s="1"/>
  <c r="AN90" i="1"/>
  <c r="AR90" i="1"/>
  <c r="AV90" i="1"/>
  <c r="AZ90" i="1"/>
  <c r="BA90" i="1" s="1"/>
  <c r="BD90" i="1"/>
  <c r="BH90" i="1"/>
  <c r="BI90" i="1" s="1"/>
  <c r="BL90" i="1"/>
  <c r="BP90" i="1"/>
  <c r="BT90" i="1"/>
  <c r="BX90" i="1"/>
  <c r="CB90" i="1"/>
  <c r="CC90" i="1" s="1"/>
  <c r="AA83" i="1"/>
  <c r="AC83" i="1" s="1"/>
  <c r="AE83" i="1"/>
  <c r="AG83" i="1" s="1"/>
  <c r="AI83" i="1"/>
  <c r="AK83" i="1" s="1"/>
  <c r="AM83" i="1"/>
  <c r="AO83" i="1" s="1"/>
  <c r="AQ83" i="1"/>
  <c r="AS83" i="1" s="1"/>
  <c r="AU83" i="1"/>
  <c r="AW83" i="1" s="1"/>
  <c r="AY83" i="1"/>
  <c r="BA83" i="1" s="1"/>
  <c r="BC83" i="1"/>
  <c r="BE83" i="1" s="1"/>
  <c r="BG83" i="1"/>
  <c r="BI83" i="1" s="1"/>
  <c r="BK83" i="1"/>
  <c r="BM83" i="1" s="1"/>
  <c r="BO83" i="1"/>
  <c r="BQ83" i="1" s="1"/>
  <c r="BS83" i="1"/>
  <c r="BU83" i="1" s="1"/>
  <c r="BW83" i="1"/>
  <c r="BY83" i="1" s="1"/>
  <c r="CA83" i="1"/>
  <c r="CC83" i="1" s="1"/>
  <c r="AS70" i="1"/>
  <c r="AB64" i="1"/>
  <c r="AC64" i="1" s="1"/>
  <c r="AF64" i="1"/>
  <c r="AJ64" i="1"/>
  <c r="AK64" i="1" s="1"/>
  <c r="AN64" i="1"/>
  <c r="AO64" i="1" s="1"/>
  <c r="AR64" i="1"/>
  <c r="AS64" i="1" s="1"/>
  <c r="AV64" i="1"/>
  <c r="AZ64" i="1"/>
  <c r="BA64" i="1" s="1"/>
  <c r="BD64" i="1"/>
  <c r="BE64" i="1" s="1"/>
  <c r="BH64" i="1"/>
  <c r="BI64" i="1" s="1"/>
  <c r="BL64" i="1"/>
  <c r="BP64" i="1"/>
  <c r="BQ64" i="1" s="1"/>
  <c r="BT64" i="1"/>
  <c r="BU64" i="1" s="1"/>
  <c r="BX64" i="1"/>
  <c r="CB64" i="1"/>
  <c r="AB32" i="1"/>
  <c r="AR32" i="1"/>
  <c r="BH32" i="1"/>
  <c r="BX32" i="1"/>
  <c r="AZ32" i="1"/>
  <c r="CB32" i="1"/>
  <c r="AF32" i="1"/>
  <c r="AN32" i="1"/>
  <c r="BP32" i="1"/>
  <c r="AV32" i="1"/>
  <c r="BD32" i="1"/>
  <c r="AJ32" i="1"/>
  <c r="BL32" i="1"/>
  <c r="BT32" i="1"/>
  <c r="AN29" i="1"/>
  <c r="BD29" i="1"/>
  <c r="BT29" i="1"/>
  <c r="AF29" i="1"/>
  <c r="BH29" i="1"/>
  <c r="BP29" i="1"/>
  <c r="AV29" i="1"/>
  <c r="BX29" i="1"/>
  <c r="AB29" i="1"/>
  <c r="AJ29" i="1"/>
  <c r="BL29" i="1"/>
  <c r="AR29" i="1"/>
  <c r="AZ29" i="1"/>
  <c r="CB29" i="1"/>
  <c r="BQ141" i="1"/>
  <c r="BE141" i="1"/>
  <c r="BY141" i="1"/>
  <c r="AW143" i="1"/>
  <c r="AG143" i="1"/>
  <c r="BY143" i="1"/>
  <c r="AB99" i="1"/>
  <c r="AF99" i="1"/>
  <c r="AG99" i="1" s="1"/>
  <c r="AJ99" i="1"/>
  <c r="AN99" i="1"/>
  <c r="AO99" i="1" s="1"/>
  <c r="AR99" i="1"/>
  <c r="AV99" i="1"/>
  <c r="AW99" i="1" s="1"/>
  <c r="AZ99" i="1"/>
  <c r="BA99" i="1" s="1"/>
  <c r="BD99" i="1"/>
  <c r="BE99" i="1" s="1"/>
  <c r="BH99" i="1"/>
  <c r="BL99" i="1"/>
  <c r="BM99" i="1" s="1"/>
  <c r="BP99" i="1"/>
  <c r="BT99" i="1"/>
  <c r="BU99" i="1" s="1"/>
  <c r="BX99" i="1"/>
  <c r="CB99" i="1"/>
  <c r="AB62" i="1"/>
  <c r="AF62" i="1"/>
  <c r="AG62" i="1" s="1"/>
  <c r="AJ62" i="1"/>
  <c r="AN62" i="1"/>
  <c r="AO62" i="1" s="1"/>
  <c r="AR62" i="1"/>
  <c r="AV62" i="1"/>
  <c r="AW62" i="1" s="1"/>
  <c r="AZ62" i="1"/>
  <c r="BD62" i="1"/>
  <c r="BE62" i="1" s="1"/>
  <c r="BH62" i="1"/>
  <c r="BL62" i="1"/>
  <c r="BM62" i="1" s="1"/>
  <c r="BP62" i="1"/>
  <c r="BT62" i="1"/>
  <c r="BX62" i="1"/>
  <c r="CB62" i="1"/>
  <c r="AB78" i="1"/>
  <c r="AJ78" i="1"/>
  <c r="AR78" i="1"/>
  <c r="AZ78" i="1"/>
  <c r="BH78" i="1"/>
  <c r="BP78" i="1"/>
  <c r="BX78" i="1"/>
  <c r="BD78" i="1"/>
  <c r="AF78" i="1"/>
  <c r="BL78" i="1"/>
  <c r="AN78" i="1"/>
  <c r="BT78" i="1"/>
  <c r="AV78" i="1"/>
  <c r="CB78" i="1"/>
  <c r="AA74" i="1"/>
  <c r="AE74" i="1"/>
  <c r="AI74" i="1"/>
  <c r="AK74" i="1" s="1"/>
  <c r="AM74" i="1"/>
  <c r="AQ74" i="1"/>
  <c r="AU74" i="1"/>
  <c r="AY74" i="1"/>
  <c r="BA74" i="1" s="1"/>
  <c r="BC74" i="1"/>
  <c r="BG74" i="1"/>
  <c r="BK74" i="1"/>
  <c r="BO74" i="1"/>
  <c r="BQ74" i="1" s="1"/>
  <c r="BS74" i="1"/>
  <c r="BW74" i="1"/>
  <c r="CA74" i="1"/>
  <c r="BU68" i="1"/>
  <c r="BE68" i="1"/>
  <c r="AO68" i="1"/>
  <c r="AM36" i="1"/>
  <c r="BC36" i="1"/>
  <c r="BE36" i="1" s="1"/>
  <c r="BS36" i="1"/>
  <c r="AE36" i="1"/>
  <c r="BG36" i="1"/>
  <c r="BI36" i="1" s="1"/>
  <c r="BO36" i="1"/>
  <c r="BQ36" i="1" s="1"/>
  <c r="AU36" i="1"/>
  <c r="BW36" i="1"/>
  <c r="BY36" i="1" s="1"/>
  <c r="AA36" i="1"/>
  <c r="AQ36" i="1"/>
  <c r="AS36" i="1" s="1"/>
  <c r="AI36" i="1"/>
  <c r="BK36" i="1"/>
  <c r="AY36" i="1"/>
  <c r="CA36" i="1"/>
  <c r="AF53" i="1"/>
  <c r="AV53" i="1"/>
  <c r="BL53" i="1"/>
  <c r="CB53" i="1"/>
  <c r="AB53" i="1"/>
  <c r="AR53" i="1"/>
  <c r="BH53" i="1"/>
  <c r="BX53" i="1"/>
  <c r="AN53" i="1"/>
  <c r="BD53" i="1"/>
  <c r="BT53" i="1"/>
  <c r="BP53" i="1"/>
  <c r="AZ53" i="1"/>
  <c r="AJ53" i="1"/>
  <c r="AW26" i="1"/>
  <c r="AC21" i="1"/>
  <c r="AN33" i="1"/>
  <c r="BD33" i="1"/>
  <c r="BT33" i="1"/>
  <c r="AF33" i="1"/>
  <c r="BH33" i="1"/>
  <c r="BP33" i="1"/>
  <c r="AV33" i="1"/>
  <c r="BX33" i="1"/>
  <c r="AB33" i="1"/>
  <c r="AJ33" i="1"/>
  <c r="BL33" i="1"/>
  <c r="CB33" i="1"/>
  <c r="AR33" i="1"/>
  <c r="AZ33" i="1"/>
  <c r="AA66" i="1"/>
  <c r="AC66" i="1" s="1"/>
  <c r="AE66" i="1"/>
  <c r="AI66" i="1"/>
  <c r="AK66" i="1" s="1"/>
  <c r="AM66" i="1"/>
  <c r="AQ66" i="1"/>
  <c r="AS66" i="1" s="1"/>
  <c r="AU66" i="1"/>
  <c r="AY66" i="1"/>
  <c r="BA66" i="1" s="1"/>
  <c r="BC66" i="1"/>
  <c r="BG66" i="1"/>
  <c r="BI66" i="1" s="1"/>
  <c r="BK66" i="1"/>
  <c r="BO66" i="1"/>
  <c r="BS66" i="1"/>
  <c r="BW66" i="1"/>
  <c r="CA66" i="1"/>
  <c r="BU66" i="1"/>
  <c r="AO66" i="1"/>
  <c r="BU67" i="1"/>
  <c r="BE67" i="1"/>
  <c r="AO67" i="1"/>
  <c r="BY69" i="1"/>
  <c r="BI69" i="1"/>
  <c r="AS69" i="1"/>
  <c r="AC69" i="1"/>
  <c r="AK61" i="1"/>
  <c r="BU25" i="1"/>
  <c r="AK25" i="1"/>
  <c r="AS25" i="1"/>
  <c r="AW25" i="1"/>
  <c r="AA94" i="1"/>
  <c r="AC94" i="1" s="1"/>
  <c r="AE94" i="1"/>
  <c r="AI94" i="1"/>
  <c r="AM94" i="1"/>
  <c r="AO94" i="1" s="1"/>
  <c r="AQ94" i="1"/>
  <c r="AS94" i="1" s="1"/>
  <c r="AU94" i="1"/>
  <c r="AY94" i="1"/>
  <c r="BC94" i="1"/>
  <c r="BE94" i="1" s="1"/>
  <c r="BG94" i="1"/>
  <c r="BK94" i="1"/>
  <c r="BO94" i="1"/>
  <c r="BS94" i="1"/>
  <c r="BU94" i="1" s="1"/>
  <c r="BW94" i="1"/>
  <c r="BY94" i="1" s="1"/>
  <c r="CA94" i="1"/>
  <c r="AA111" i="1"/>
  <c r="AC111" i="1" s="1"/>
  <c r="AE111" i="1"/>
  <c r="AG111" i="1" s="1"/>
  <c r="AI111" i="1"/>
  <c r="AM111" i="1"/>
  <c r="AQ111" i="1"/>
  <c r="AU111" i="1"/>
  <c r="AY111" i="1"/>
  <c r="BC111" i="1"/>
  <c r="BE111" i="1" s="1"/>
  <c r="BG111" i="1"/>
  <c r="BI111" i="1" s="1"/>
  <c r="BK111" i="1"/>
  <c r="BM111" i="1" s="1"/>
  <c r="BO111" i="1"/>
  <c r="BS111" i="1"/>
  <c r="BU111" i="1" s="1"/>
  <c r="BW111" i="1"/>
  <c r="CA111" i="1"/>
  <c r="CC111" i="1" s="1"/>
  <c r="AA110" i="1"/>
  <c r="AE110" i="1"/>
  <c r="AI110" i="1"/>
  <c r="AM110" i="1"/>
  <c r="AQ110" i="1"/>
  <c r="AU110" i="1"/>
  <c r="AY110" i="1"/>
  <c r="BC110" i="1"/>
  <c r="BG110" i="1"/>
  <c r="BK110" i="1"/>
  <c r="BO110" i="1"/>
  <c r="BS110" i="1"/>
  <c r="BW110" i="1"/>
  <c r="CA110" i="1"/>
  <c r="AJ56" i="1"/>
  <c r="AZ56" i="1"/>
  <c r="BP56" i="1"/>
  <c r="AF56" i="1"/>
  <c r="AV56" i="1"/>
  <c r="BL56" i="1"/>
  <c r="CB56" i="1"/>
  <c r="AB56" i="1"/>
  <c r="AR56" i="1"/>
  <c r="BH56" i="1"/>
  <c r="BX56" i="1"/>
  <c r="BD56" i="1"/>
  <c r="AN56" i="1"/>
  <c r="BT56" i="1"/>
  <c r="AA61" i="1"/>
  <c r="AC61" i="1" s="1"/>
  <c r="AE61" i="1"/>
  <c r="AI61" i="1"/>
  <c r="AM61" i="1"/>
  <c r="AO61" i="1" s="1"/>
  <c r="AQ61" i="1"/>
  <c r="AU61" i="1"/>
  <c r="AY61" i="1"/>
  <c r="BA61" i="1" s="1"/>
  <c r="BC61" i="1"/>
  <c r="BE61" i="1" s="1"/>
  <c r="BG61" i="1"/>
  <c r="BI61" i="1" s="1"/>
  <c r="BK61" i="1"/>
  <c r="BO61" i="1"/>
  <c r="BQ61" i="1" s="1"/>
  <c r="BS61" i="1"/>
  <c r="BW61" i="1"/>
  <c r="BY61" i="1" s="1"/>
  <c r="CA61" i="1"/>
  <c r="AS27" i="1"/>
  <c r="AN14" i="1"/>
  <c r="BD14" i="1"/>
  <c r="BT14" i="1"/>
  <c r="AJ14" i="1"/>
  <c r="AZ14" i="1"/>
  <c r="BP14" i="1"/>
  <c r="AB14" i="1"/>
  <c r="BH14" i="1"/>
  <c r="AF14" i="1"/>
  <c r="BL14" i="1"/>
  <c r="BX14" i="1"/>
  <c r="CB14" i="1"/>
  <c r="AR14" i="1"/>
  <c r="AV14" i="1"/>
  <c r="BU12" i="1"/>
  <c r="AA112" i="1"/>
  <c r="AC112" i="1" s="1"/>
  <c r="AE112" i="1"/>
  <c r="AG112" i="1" s="1"/>
  <c r="AI112" i="1"/>
  <c r="AK112" i="1" s="1"/>
  <c r="AM112" i="1"/>
  <c r="AO112" i="1" s="1"/>
  <c r="AQ112" i="1"/>
  <c r="AS112" i="1" s="1"/>
  <c r="AU112" i="1"/>
  <c r="AW112" i="1" s="1"/>
  <c r="AY112" i="1"/>
  <c r="BA112" i="1" s="1"/>
  <c r="BC112" i="1"/>
  <c r="BE112" i="1" s="1"/>
  <c r="BG112" i="1"/>
  <c r="BI112" i="1" s="1"/>
  <c r="BK112" i="1"/>
  <c r="BM112" i="1" s="1"/>
  <c r="BS112" i="1"/>
  <c r="BU112" i="1" s="1"/>
  <c r="CA112" i="1"/>
  <c r="CC112" i="1" s="1"/>
  <c r="BO112" i="1"/>
  <c r="BW112" i="1"/>
  <c r="BY112" i="1" s="1"/>
  <c r="BQ90" i="1"/>
  <c r="BY111" i="1"/>
  <c r="BQ107" i="1"/>
  <c r="BQ99" i="1"/>
  <c r="AK99" i="1"/>
  <c r="AA103" i="1"/>
  <c r="AC103" i="1" s="1"/>
  <c r="AE103" i="1"/>
  <c r="AI103" i="1"/>
  <c r="AK103" i="1" s="1"/>
  <c r="AM103" i="1"/>
  <c r="AO103" i="1" s="1"/>
  <c r="AQ103" i="1"/>
  <c r="AS103" i="1" s="1"/>
  <c r="AU103" i="1"/>
  <c r="AY103" i="1"/>
  <c r="BC103" i="1"/>
  <c r="BE103" i="1" s="1"/>
  <c r="BG103" i="1"/>
  <c r="BI103" i="1" s="1"/>
  <c r="BK103" i="1"/>
  <c r="BO103" i="1"/>
  <c r="BQ103" i="1" s="1"/>
  <c r="BS103" i="1"/>
  <c r="BU103" i="1" s="1"/>
  <c r="BW103" i="1"/>
  <c r="BY103" i="1" s="1"/>
  <c r="CA103" i="1"/>
  <c r="AB108" i="1"/>
  <c r="AF108" i="1"/>
  <c r="AJ108" i="1"/>
  <c r="AN108" i="1"/>
  <c r="AR108" i="1"/>
  <c r="AV108" i="1"/>
  <c r="AZ108" i="1"/>
  <c r="BD108" i="1"/>
  <c r="BH108" i="1"/>
  <c r="BL108" i="1"/>
  <c r="BP108" i="1"/>
  <c r="BT108" i="1"/>
  <c r="BX108" i="1"/>
  <c r="CB108" i="1"/>
  <c r="AA104" i="1"/>
  <c r="AC104" i="1" s="1"/>
  <c r="AE104" i="1"/>
  <c r="AI104" i="1"/>
  <c r="AM104" i="1"/>
  <c r="AQ104" i="1"/>
  <c r="AS104" i="1" s="1"/>
  <c r="AU104" i="1"/>
  <c r="AY104" i="1"/>
  <c r="BC104" i="1"/>
  <c r="BG104" i="1"/>
  <c r="BI104" i="1" s="1"/>
  <c r="BK104" i="1"/>
  <c r="BO104" i="1"/>
  <c r="BS104" i="1"/>
  <c r="BW104" i="1"/>
  <c r="BY104" i="1" s="1"/>
  <c r="CA104" i="1"/>
  <c r="BY90" i="1"/>
  <c r="AS90" i="1"/>
  <c r="BQ111" i="1"/>
  <c r="AK111" i="1"/>
  <c r="BI107" i="1"/>
  <c r="AC107" i="1"/>
  <c r="BY99" i="1"/>
  <c r="BQ95" i="1"/>
  <c r="BA95" i="1"/>
  <c r="AK95" i="1"/>
  <c r="BI91" i="1"/>
  <c r="BA87" i="1"/>
  <c r="BQ76" i="1"/>
  <c r="AK76" i="1"/>
  <c r="BQ65" i="1"/>
  <c r="BQ24" i="1"/>
  <c r="BA24" i="1"/>
  <c r="AB107" i="1"/>
  <c r="AF107" i="1"/>
  <c r="AJ107" i="1"/>
  <c r="AN107" i="1"/>
  <c r="AR107" i="1"/>
  <c r="AS107" i="1" s="1"/>
  <c r="AV107" i="1"/>
  <c r="AZ107" i="1"/>
  <c r="BA107" i="1" s="1"/>
  <c r="BD107" i="1"/>
  <c r="BH107" i="1"/>
  <c r="BL107" i="1"/>
  <c r="BP107" i="1"/>
  <c r="BT107" i="1"/>
  <c r="BX107" i="1"/>
  <c r="BY107" i="1" s="1"/>
  <c r="CB107" i="1"/>
  <c r="BY50" i="1"/>
  <c r="BI50" i="1"/>
  <c r="AS50" i="1"/>
  <c r="AC50" i="1"/>
  <c r="BA94" i="1"/>
  <c r="AB88" i="1"/>
  <c r="AF88" i="1"/>
  <c r="AJ88" i="1"/>
  <c r="AN88" i="1"/>
  <c r="AR88" i="1"/>
  <c r="AV88" i="1"/>
  <c r="AZ88" i="1"/>
  <c r="BD88" i="1"/>
  <c r="BH88" i="1"/>
  <c r="BL88" i="1"/>
  <c r="BP88" i="1"/>
  <c r="BT88" i="1"/>
  <c r="BX88" i="1"/>
  <c r="CB88" i="1"/>
  <c r="AU113" i="1"/>
  <c r="AA113" i="1"/>
  <c r="AI113" i="1"/>
  <c r="AQ113" i="1"/>
  <c r="AE113" i="1"/>
  <c r="BC113" i="1"/>
  <c r="BS113" i="1"/>
  <c r="AM113" i="1"/>
  <c r="BG113" i="1"/>
  <c r="BI113" i="1" s="1"/>
  <c r="BW113" i="1"/>
  <c r="BK113" i="1"/>
  <c r="CA113" i="1"/>
  <c r="AY113" i="1"/>
  <c r="BA113" i="1" s="1"/>
  <c r="BO113" i="1"/>
  <c r="AA105" i="1"/>
  <c r="AE105" i="1"/>
  <c r="AI105" i="1"/>
  <c r="AK105" i="1" s="1"/>
  <c r="AM105" i="1"/>
  <c r="AQ105" i="1"/>
  <c r="AU105" i="1"/>
  <c r="AY105" i="1"/>
  <c r="BA105" i="1" s="1"/>
  <c r="BC105" i="1"/>
  <c r="BG105" i="1"/>
  <c r="BK105" i="1"/>
  <c r="BO105" i="1"/>
  <c r="BQ105" i="1" s="1"/>
  <c r="BS105" i="1"/>
  <c r="BW105" i="1"/>
  <c r="CA105" i="1"/>
  <c r="AA97" i="1"/>
  <c r="AC97" i="1" s="1"/>
  <c r="AE97" i="1"/>
  <c r="AI97" i="1"/>
  <c r="AM97" i="1"/>
  <c r="AQ97" i="1"/>
  <c r="AS97" i="1" s="1"/>
  <c r="AU97" i="1"/>
  <c r="AY97" i="1"/>
  <c r="BC97" i="1"/>
  <c r="BG97" i="1"/>
  <c r="BI97" i="1" s="1"/>
  <c r="BK97" i="1"/>
  <c r="BO97" i="1"/>
  <c r="BS97" i="1"/>
  <c r="BW97" i="1"/>
  <c r="BY97" i="1" s="1"/>
  <c r="CA97" i="1"/>
  <c r="AA89" i="1"/>
  <c r="AE89" i="1"/>
  <c r="AI89" i="1"/>
  <c r="AK89" i="1" s="1"/>
  <c r="AM89" i="1"/>
  <c r="AQ89" i="1"/>
  <c r="AU89" i="1"/>
  <c r="AY89" i="1"/>
  <c r="BA89" i="1" s="1"/>
  <c r="BC89" i="1"/>
  <c r="BG89" i="1"/>
  <c r="BK89" i="1"/>
  <c r="BO89" i="1"/>
  <c r="BQ89" i="1" s="1"/>
  <c r="BS89" i="1"/>
  <c r="BW89" i="1"/>
  <c r="CA89" i="1"/>
  <c r="AA98" i="1"/>
  <c r="AC98" i="1" s="1"/>
  <c r="AE98" i="1"/>
  <c r="AG98" i="1" s="1"/>
  <c r="AI98" i="1"/>
  <c r="AM98" i="1"/>
  <c r="AQ98" i="1"/>
  <c r="AS98" i="1" s="1"/>
  <c r="AU98" i="1"/>
  <c r="AY98" i="1"/>
  <c r="BC98" i="1"/>
  <c r="BG98" i="1"/>
  <c r="BI98" i="1" s="1"/>
  <c r="BK98" i="1"/>
  <c r="BM98" i="1" s="1"/>
  <c r="BO98" i="1"/>
  <c r="BS98" i="1"/>
  <c r="BW98" i="1"/>
  <c r="BY98" i="1" s="1"/>
  <c r="CA98" i="1"/>
  <c r="CC98" i="1" s="1"/>
  <c r="AA75" i="1"/>
  <c r="AC75" i="1" s="1"/>
  <c r="AE75" i="1"/>
  <c r="AG75" i="1" s="1"/>
  <c r="AI75" i="1"/>
  <c r="AK75" i="1" s="1"/>
  <c r="AM75" i="1"/>
  <c r="AO75" i="1" s="1"/>
  <c r="AQ75" i="1"/>
  <c r="AS75" i="1" s="1"/>
  <c r="AU75" i="1"/>
  <c r="AW75" i="1" s="1"/>
  <c r="AY75" i="1"/>
  <c r="BA75" i="1" s="1"/>
  <c r="BC75" i="1"/>
  <c r="BE75" i="1" s="1"/>
  <c r="BG75" i="1"/>
  <c r="BI75" i="1" s="1"/>
  <c r="BK75" i="1"/>
  <c r="BM75" i="1" s="1"/>
  <c r="BO75" i="1"/>
  <c r="BQ75" i="1" s="1"/>
  <c r="BS75" i="1"/>
  <c r="BU75" i="1" s="1"/>
  <c r="BW75" i="1"/>
  <c r="BY75" i="1" s="1"/>
  <c r="CA75" i="1"/>
  <c r="CC75" i="1" s="1"/>
  <c r="BM60" i="1"/>
  <c r="AO141" i="1"/>
  <c r="BI141" i="1"/>
  <c r="BI143" i="1"/>
  <c r="AA80" i="1"/>
  <c r="AE80" i="1"/>
  <c r="AI80" i="1"/>
  <c r="AK80" i="1" s="1"/>
  <c r="AM80" i="1"/>
  <c r="AQ80" i="1"/>
  <c r="AU80" i="1"/>
  <c r="AY80" i="1"/>
  <c r="BA80" i="1" s="1"/>
  <c r="BC80" i="1"/>
  <c r="BG80" i="1"/>
  <c r="BK80" i="1"/>
  <c r="BO80" i="1"/>
  <c r="BQ80" i="1" s="1"/>
  <c r="BS80" i="1"/>
  <c r="BW80" i="1"/>
  <c r="CA80" i="1"/>
  <c r="CC62" i="1"/>
  <c r="AA72" i="1"/>
  <c r="AC72" i="1" s="1"/>
  <c r="AE72" i="1"/>
  <c r="AG72" i="1" s="1"/>
  <c r="AI72" i="1"/>
  <c r="AK72" i="1" s="1"/>
  <c r="AM72" i="1"/>
  <c r="AO72" i="1" s="1"/>
  <c r="AQ72" i="1"/>
  <c r="AS72" i="1" s="1"/>
  <c r="AU72" i="1"/>
  <c r="AW72" i="1" s="1"/>
  <c r="AY72" i="1"/>
  <c r="BA72" i="1" s="1"/>
  <c r="BC72" i="1"/>
  <c r="BE72" i="1" s="1"/>
  <c r="BG72" i="1"/>
  <c r="BI72" i="1" s="1"/>
  <c r="BK72" i="1"/>
  <c r="BM72" i="1" s="1"/>
  <c r="BO72" i="1"/>
  <c r="BQ72" i="1" s="1"/>
  <c r="BS72" i="1"/>
  <c r="BU72" i="1" s="1"/>
  <c r="BW72" i="1"/>
  <c r="BY72" i="1" s="1"/>
  <c r="CA72" i="1"/>
  <c r="CC72" i="1" s="1"/>
  <c r="AB74" i="1"/>
  <c r="AJ74" i="1"/>
  <c r="AR74" i="1"/>
  <c r="AZ74" i="1"/>
  <c r="BH74" i="1"/>
  <c r="BP74" i="1"/>
  <c r="BX74" i="1"/>
  <c r="AN74" i="1"/>
  <c r="BT74" i="1"/>
  <c r="AV74" i="1"/>
  <c r="CB74" i="1"/>
  <c r="BD74" i="1"/>
  <c r="AF74" i="1"/>
  <c r="BL74" i="1"/>
  <c r="BQ68" i="1"/>
  <c r="BA68" i="1"/>
  <c r="AK68" i="1"/>
  <c r="AB36" i="1"/>
  <c r="AR36" i="1"/>
  <c r="BH36" i="1"/>
  <c r="BX36" i="1"/>
  <c r="AZ36" i="1"/>
  <c r="CB36" i="1"/>
  <c r="AF36" i="1"/>
  <c r="AN36" i="1"/>
  <c r="AO36" i="1" s="1"/>
  <c r="BP36" i="1"/>
  <c r="BD36" i="1"/>
  <c r="BT36" i="1"/>
  <c r="BU36" i="1" s="1"/>
  <c r="AV36" i="1"/>
  <c r="BL36" i="1"/>
  <c r="AJ36" i="1"/>
  <c r="AK36" i="1" s="1"/>
  <c r="BA36" i="1"/>
  <c r="AI58" i="1"/>
  <c r="AK58" i="1" s="1"/>
  <c r="AM58" i="1"/>
  <c r="AQ58" i="1"/>
  <c r="AU58" i="1"/>
  <c r="AY58" i="1"/>
  <c r="BA58" i="1" s="1"/>
  <c r="BC58" i="1"/>
  <c r="BG58" i="1"/>
  <c r="BK58" i="1"/>
  <c r="BO58" i="1"/>
  <c r="BQ58" i="1" s="1"/>
  <c r="BS58" i="1"/>
  <c r="BW58" i="1"/>
  <c r="CA58" i="1"/>
  <c r="AE58" i="1"/>
  <c r="AG58" i="1" s="1"/>
  <c r="AA58" i="1"/>
  <c r="AE34" i="1"/>
  <c r="AU34" i="1"/>
  <c r="BK34" i="1"/>
  <c r="BM34" i="1" s="1"/>
  <c r="CA34" i="1"/>
  <c r="AA34" i="1"/>
  <c r="BC34" i="1"/>
  <c r="AI34" i="1"/>
  <c r="AK34" i="1" s="1"/>
  <c r="AQ34" i="1"/>
  <c r="BS34" i="1"/>
  <c r="BW34" i="1"/>
  <c r="AY34" i="1"/>
  <c r="AM34" i="1"/>
  <c r="BO34" i="1"/>
  <c r="BG34" i="1"/>
  <c r="AA102" i="1"/>
  <c r="AC102" i="1" s="1"/>
  <c r="AE102" i="1"/>
  <c r="AI102" i="1"/>
  <c r="AM102" i="1"/>
  <c r="AQ102" i="1"/>
  <c r="AS102" i="1" s="1"/>
  <c r="AU102" i="1"/>
  <c r="AY102" i="1"/>
  <c r="BC102" i="1"/>
  <c r="BG102" i="1"/>
  <c r="BI102" i="1" s="1"/>
  <c r="BK102" i="1"/>
  <c r="BO102" i="1"/>
  <c r="BS102" i="1"/>
  <c r="BW102" i="1"/>
  <c r="BY102" i="1" s="1"/>
  <c r="CA102" i="1"/>
  <c r="AB66" i="1"/>
  <c r="AF66" i="1"/>
  <c r="AJ66" i="1"/>
  <c r="AN66" i="1"/>
  <c r="AR66" i="1"/>
  <c r="AV66" i="1"/>
  <c r="AZ66" i="1"/>
  <c r="BD66" i="1"/>
  <c r="BE66" i="1" s="1"/>
  <c r="BH66" i="1"/>
  <c r="BL66" i="1"/>
  <c r="BP66" i="1"/>
  <c r="BT66" i="1"/>
  <c r="BX66" i="1"/>
  <c r="CB66" i="1"/>
  <c r="BQ66" i="1"/>
  <c r="AA76" i="1"/>
  <c r="AC76" i="1" s="1"/>
  <c r="AE76" i="1"/>
  <c r="AG76" i="1" s="1"/>
  <c r="AI76" i="1"/>
  <c r="AM76" i="1"/>
  <c r="AQ76" i="1"/>
  <c r="AS76" i="1" s="1"/>
  <c r="AU76" i="1"/>
  <c r="AW76" i="1" s="1"/>
  <c r="AY76" i="1"/>
  <c r="BA76" i="1" s="1"/>
  <c r="BC76" i="1"/>
  <c r="BE76" i="1" s="1"/>
  <c r="BG76" i="1"/>
  <c r="BI76" i="1" s="1"/>
  <c r="BK76" i="1"/>
  <c r="BO76" i="1"/>
  <c r="BS76" i="1"/>
  <c r="BU76" i="1" s="1"/>
  <c r="BW76" i="1"/>
  <c r="CA76" i="1"/>
  <c r="CC76" i="1" s="1"/>
  <c r="BQ67" i="1"/>
  <c r="BA67" i="1"/>
  <c r="AK67" i="1"/>
  <c r="CC61" i="1"/>
  <c r="AW61" i="1"/>
  <c r="AC25" i="1"/>
  <c r="AB94" i="1"/>
  <c r="AF94" i="1"/>
  <c r="AJ94" i="1"/>
  <c r="AK94" i="1" s="1"/>
  <c r="AN94" i="1"/>
  <c r="AR94" i="1"/>
  <c r="AV94" i="1"/>
  <c r="AW94" i="1" s="1"/>
  <c r="AZ94" i="1"/>
  <c r="BD94" i="1"/>
  <c r="BH94" i="1"/>
  <c r="BL94" i="1"/>
  <c r="BP94" i="1"/>
  <c r="BQ94" i="1" s="1"/>
  <c r="BT94" i="1"/>
  <c r="BX94" i="1"/>
  <c r="CB94" i="1"/>
  <c r="CC94" i="1" s="1"/>
  <c r="AB111" i="1"/>
  <c r="AF111" i="1"/>
  <c r="AJ111" i="1"/>
  <c r="AN111" i="1"/>
  <c r="AR111" i="1"/>
  <c r="AS111" i="1" s="1"/>
  <c r="AV111" i="1"/>
  <c r="AZ111" i="1"/>
  <c r="BA111" i="1" s="1"/>
  <c r="BD111" i="1"/>
  <c r="BH111" i="1"/>
  <c r="BL111" i="1"/>
  <c r="BP111" i="1"/>
  <c r="BT111" i="1"/>
  <c r="BX111" i="1"/>
  <c r="CB111" i="1"/>
  <c r="AA91" i="1"/>
  <c r="AE91" i="1"/>
  <c r="AG91" i="1" s="1"/>
  <c r="AI91" i="1"/>
  <c r="AM91" i="1"/>
  <c r="AO91" i="1" s="1"/>
  <c r="AQ91" i="1"/>
  <c r="AS91" i="1" s="1"/>
  <c r="AU91" i="1"/>
  <c r="AW91" i="1" s="1"/>
  <c r="AY91" i="1"/>
  <c r="BA91" i="1" s="1"/>
  <c r="BC91" i="1"/>
  <c r="BE91" i="1" s="1"/>
  <c r="BG91" i="1"/>
  <c r="BK91" i="1"/>
  <c r="BO91" i="1"/>
  <c r="BQ91" i="1" s="1"/>
  <c r="BS91" i="1"/>
  <c r="BW91" i="1"/>
  <c r="BY91" i="1" s="1"/>
  <c r="CA91" i="1"/>
  <c r="CC91" i="1" s="1"/>
  <c r="BE98" i="1"/>
  <c r="AA92" i="1"/>
  <c r="AE92" i="1"/>
  <c r="AI92" i="1"/>
  <c r="AK92" i="1" s="1"/>
  <c r="AM92" i="1"/>
  <c r="AQ92" i="1"/>
  <c r="AU92" i="1"/>
  <c r="AY92" i="1"/>
  <c r="BA92" i="1" s="1"/>
  <c r="BC92" i="1"/>
  <c r="BG92" i="1"/>
  <c r="BK92" i="1"/>
  <c r="BO92" i="1"/>
  <c r="BQ92" i="1" s="1"/>
  <c r="BS92" i="1"/>
  <c r="BW92" i="1"/>
  <c r="CA92" i="1"/>
  <c r="AB110" i="1"/>
  <c r="AF110" i="1"/>
  <c r="AJ110" i="1"/>
  <c r="AN110" i="1"/>
  <c r="AR110" i="1"/>
  <c r="AV110" i="1"/>
  <c r="AZ110" i="1"/>
  <c r="BD110" i="1"/>
  <c r="BH110" i="1"/>
  <c r="BL110" i="1"/>
  <c r="BP110" i="1"/>
  <c r="BT110" i="1"/>
  <c r="BX110" i="1"/>
  <c r="CB110" i="1"/>
  <c r="AA106" i="1"/>
  <c r="AE106" i="1"/>
  <c r="AI106" i="1"/>
  <c r="AM106" i="1"/>
  <c r="AQ106" i="1"/>
  <c r="AU106" i="1"/>
  <c r="AY106" i="1"/>
  <c r="BC106" i="1"/>
  <c r="BG106" i="1"/>
  <c r="BK106" i="1"/>
  <c r="BO106" i="1"/>
  <c r="BS106" i="1"/>
  <c r="BW106" i="1"/>
  <c r="CA106" i="1"/>
  <c r="AB61" i="1"/>
  <c r="AF61" i="1"/>
  <c r="AG61" i="1" s="1"/>
  <c r="AJ61" i="1"/>
  <c r="AN61" i="1"/>
  <c r="AR61" i="1"/>
  <c r="AV61" i="1"/>
  <c r="AZ61" i="1"/>
  <c r="BD61" i="1"/>
  <c r="BH61" i="1"/>
  <c r="BL61" i="1"/>
  <c r="BM61" i="1" s="1"/>
  <c r="BP61" i="1"/>
  <c r="BT61" i="1"/>
  <c r="BX61" i="1"/>
  <c r="CB61" i="1"/>
  <c r="AC27" i="1"/>
  <c r="AA84" i="1"/>
  <c r="AE84" i="1"/>
  <c r="AG84" i="1" s="1"/>
  <c r="AI84" i="1"/>
  <c r="AK84" i="1" s="1"/>
  <c r="AM84" i="1"/>
  <c r="AO84" i="1" s="1"/>
  <c r="AQ84" i="1"/>
  <c r="AU84" i="1"/>
  <c r="AW84" i="1" s="1"/>
  <c r="AY84" i="1"/>
  <c r="BA84" i="1" s="1"/>
  <c r="BC84" i="1"/>
  <c r="BE84" i="1" s="1"/>
  <c r="BG84" i="1"/>
  <c r="BK84" i="1"/>
  <c r="BM84" i="1" s="1"/>
  <c r="BO84" i="1"/>
  <c r="BQ84" i="1" s="1"/>
  <c r="BS84" i="1"/>
  <c r="BU84" i="1" s="1"/>
  <c r="BW84" i="1"/>
  <c r="CA84" i="1"/>
  <c r="AE52" i="1"/>
  <c r="AU52" i="1"/>
  <c r="BK52" i="1"/>
  <c r="CA52" i="1"/>
  <c r="AA52" i="1"/>
  <c r="AQ52" i="1"/>
  <c r="BG52" i="1"/>
  <c r="BW52" i="1"/>
  <c r="AM52" i="1"/>
  <c r="BC52" i="1"/>
  <c r="BE52" i="1" s="1"/>
  <c r="BS52" i="1"/>
  <c r="BO52" i="1"/>
  <c r="AY52" i="1"/>
  <c r="AI52" i="1"/>
  <c r="AI51" i="1"/>
  <c r="AY51" i="1"/>
  <c r="BO51" i="1"/>
  <c r="AE51" i="1"/>
  <c r="AU51" i="1"/>
  <c r="BK51" i="1"/>
  <c r="CA51" i="1"/>
  <c r="AA51" i="1"/>
  <c r="AC51" i="1" s="1"/>
  <c r="AQ51" i="1"/>
  <c r="BG51" i="1"/>
  <c r="BW51" i="1"/>
  <c r="BC51" i="1"/>
  <c r="BE51" i="1" s="1"/>
  <c r="AM51" i="1"/>
  <c r="BS51" i="1"/>
  <c r="AO12" i="1"/>
  <c r="AW12" i="1"/>
  <c r="AA87" i="1"/>
  <c r="AC87" i="1" s="1"/>
  <c r="AE87" i="1"/>
  <c r="AG87" i="1" s="1"/>
  <c r="AI87" i="1"/>
  <c r="AK87" i="1" s="1"/>
  <c r="AM87" i="1"/>
  <c r="AO87" i="1" s="1"/>
  <c r="AQ87" i="1"/>
  <c r="AS87" i="1" s="1"/>
  <c r="AU87" i="1"/>
  <c r="AW87" i="1" s="1"/>
  <c r="AY87" i="1"/>
  <c r="BC87" i="1"/>
  <c r="BG87" i="1"/>
  <c r="BI87" i="1" s="1"/>
  <c r="BK87" i="1"/>
  <c r="BO87" i="1"/>
  <c r="BQ87" i="1" s="1"/>
  <c r="BS87" i="1"/>
  <c r="BU87" i="1" s="1"/>
  <c r="BW87" i="1"/>
  <c r="BY87" i="1" s="1"/>
  <c r="CA87" i="1"/>
  <c r="CC87" i="1" s="1"/>
  <c r="AB87" i="1"/>
  <c r="AF87" i="1"/>
  <c r="AJ87" i="1"/>
  <c r="AN87" i="1"/>
  <c r="AR87" i="1"/>
  <c r="AV87" i="1"/>
  <c r="AZ87" i="1"/>
  <c r="BD87" i="1"/>
  <c r="BE87" i="1" s="1"/>
  <c r="BH87" i="1"/>
  <c r="BL87" i="1"/>
  <c r="BP87" i="1"/>
  <c r="BT87" i="1"/>
  <c r="BX87" i="1"/>
  <c r="CB87" i="1"/>
  <c r="AB103" i="1"/>
  <c r="AF103" i="1"/>
  <c r="AJ103" i="1"/>
  <c r="AN103" i="1"/>
  <c r="AR103" i="1"/>
  <c r="AV103" i="1"/>
  <c r="AW103" i="1" s="1"/>
  <c r="AZ103" i="1"/>
  <c r="BA103" i="1" s="1"/>
  <c r="BD103" i="1"/>
  <c r="BH103" i="1"/>
  <c r="BL103" i="1"/>
  <c r="BM103" i="1" s="1"/>
  <c r="BP103" i="1"/>
  <c r="BT103" i="1"/>
  <c r="BX103" i="1"/>
  <c r="CB103" i="1"/>
  <c r="CC103" i="1" s="1"/>
  <c r="AB104" i="1"/>
  <c r="AF104" i="1"/>
  <c r="AJ104" i="1"/>
  <c r="AN104" i="1"/>
  <c r="AR104" i="1"/>
  <c r="AV104" i="1"/>
  <c r="AZ104" i="1"/>
  <c r="BD104" i="1"/>
  <c r="BH104" i="1"/>
  <c r="BL104" i="1"/>
  <c r="BP104" i="1"/>
  <c r="BT104" i="1"/>
  <c r="BX104" i="1"/>
  <c r="CB104" i="1"/>
  <c r="AA100" i="1"/>
  <c r="AC100" i="1" s="1"/>
  <c r="AE100" i="1"/>
  <c r="AG100" i="1" s="1"/>
  <c r="AI100" i="1"/>
  <c r="AM100" i="1"/>
  <c r="AO100" i="1" s="1"/>
  <c r="AQ100" i="1"/>
  <c r="AS100" i="1" s="1"/>
  <c r="AU100" i="1"/>
  <c r="AW100" i="1" s="1"/>
  <c r="AY100" i="1"/>
  <c r="BC100" i="1"/>
  <c r="BE100" i="1" s="1"/>
  <c r="BG100" i="1"/>
  <c r="BI100" i="1" s="1"/>
  <c r="BK100" i="1"/>
  <c r="BM100" i="1" s="1"/>
  <c r="BO100" i="1"/>
  <c r="BS100" i="1"/>
  <c r="BU100" i="1" s="1"/>
  <c r="BW100" i="1"/>
  <c r="BY100" i="1" s="1"/>
  <c r="CA100" i="1"/>
  <c r="CC100" i="1" s="1"/>
  <c r="AA65" i="1"/>
  <c r="AC65" i="1" s="1"/>
  <c r="AE65" i="1"/>
  <c r="AI65" i="1"/>
  <c r="AK65" i="1" s="1"/>
  <c r="AM65" i="1"/>
  <c r="AO65" i="1" s="1"/>
  <c r="AQ65" i="1"/>
  <c r="AS65" i="1" s="1"/>
  <c r="AU65" i="1"/>
  <c r="AY65" i="1"/>
  <c r="BA65" i="1" s="1"/>
  <c r="BC65" i="1"/>
  <c r="BE65" i="1" s="1"/>
  <c r="BG65" i="1"/>
  <c r="BI65" i="1" s="1"/>
  <c r="BK65" i="1"/>
  <c r="BO65" i="1"/>
  <c r="BS65" i="1"/>
  <c r="BW65" i="1"/>
  <c r="BY65" i="1" s="1"/>
  <c r="CA65" i="1"/>
  <c r="AW111" i="1"/>
  <c r="AO107" i="1"/>
  <c r="AG103" i="1"/>
  <c r="CC95" i="1"/>
  <c r="BU91" i="1"/>
  <c r="BM87" i="1"/>
  <c r="BM76" i="1"/>
  <c r="CC64" i="1"/>
  <c r="BM64" i="1"/>
  <c r="AW64" i="1"/>
  <c r="AG64" i="1"/>
  <c r="CC65" i="1"/>
  <c r="BM65" i="1"/>
  <c r="AW65" i="1"/>
  <c r="AG65" i="1"/>
  <c r="BQ31" i="1"/>
  <c r="AK31" i="1"/>
  <c r="AA23" i="1"/>
  <c r="AC23" i="1" s="1"/>
  <c r="AE23" i="1"/>
  <c r="AG23" i="1" s="1"/>
  <c r="AI23" i="1"/>
  <c r="AK23" i="1" s="1"/>
  <c r="AM23" i="1"/>
  <c r="AO23" i="1" s="1"/>
  <c r="AQ23" i="1"/>
  <c r="AS23" i="1" s="1"/>
  <c r="AU23" i="1"/>
  <c r="AW23" i="1" s="1"/>
  <c r="AY23" i="1"/>
  <c r="BA23" i="1" s="1"/>
  <c r="BC23" i="1"/>
  <c r="BE23" i="1" s="1"/>
  <c r="BG23" i="1"/>
  <c r="BI23" i="1" s="1"/>
  <c r="BK23" i="1"/>
  <c r="BM23" i="1" s="1"/>
  <c r="BO23" i="1"/>
  <c r="BQ23" i="1" s="1"/>
  <c r="BS23" i="1"/>
  <c r="BU23" i="1" s="1"/>
  <c r="BW23" i="1"/>
  <c r="BY23" i="1" s="1"/>
  <c r="CA23" i="1"/>
  <c r="CC23" i="1" s="1"/>
  <c r="BY24" i="1"/>
  <c r="BU50" i="1"/>
  <c r="BE50" i="1"/>
  <c r="AO50" i="1"/>
  <c r="BM94" i="1"/>
  <c r="AG94" i="1"/>
  <c r="AB113" i="1"/>
  <c r="AF113" i="1"/>
  <c r="AJ113" i="1"/>
  <c r="AN113" i="1"/>
  <c r="AR113" i="1"/>
  <c r="AV113" i="1"/>
  <c r="AZ113" i="1"/>
  <c r="BD113" i="1"/>
  <c r="BH113" i="1"/>
  <c r="BL113" i="1"/>
  <c r="BP113" i="1"/>
  <c r="BT113" i="1"/>
  <c r="BX113" i="1"/>
  <c r="CB113" i="1"/>
  <c r="AB105" i="1"/>
  <c r="AF105" i="1"/>
  <c r="AJ105" i="1"/>
  <c r="AN105" i="1"/>
  <c r="AR105" i="1"/>
  <c r="AV105" i="1"/>
  <c r="AZ105" i="1"/>
  <c r="BD105" i="1"/>
  <c r="BH105" i="1"/>
  <c r="BL105" i="1"/>
  <c r="BP105" i="1"/>
  <c r="BT105" i="1"/>
  <c r="BX105" i="1"/>
  <c r="CB105" i="1"/>
  <c r="AB97" i="1"/>
  <c r="AF97" i="1"/>
  <c r="AJ97" i="1"/>
  <c r="AN97" i="1"/>
  <c r="AR97" i="1"/>
  <c r="AV97" i="1"/>
  <c r="AZ97" i="1"/>
  <c r="BD97" i="1"/>
  <c r="BH97" i="1"/>
  <c r="BL97" i="1"/>
  <c r="BP97" i="1"/>
  <c r="BT97" i="1"/>
  <c r="BX97" i="1"/>
  <c r="CB97" i="1"/>
  <c r="AB89" i="1"/>
  <c r="AF89" i="1"/>
  <c r="AJ89" i="1"/>
  <c r="AN89" i="1"/>
  <c r="AR89" i="1"/>
  <c r="AV89" i="1"/>
  <c r="AZ89" i="1"/>
  <c r="BD89" i="1"/>
  <c r="BH89" i="1"/>
  <c r="BL89" i="1"/>
  <c r="BP89" i="1"/>
  <c r="BT89" i="1"/>
  <c r="BX89" i="1"/>
  <c r="CB89" i="1"/>
  <c r="AB98" i="1"/>
  <c r="AF98" i="1"/>
  <c r="AJ98" i="1"/>
  <c r="AN98" i="1"/>
  <c r="AO98" i="1" s="1"/>
  <c r="AR98" i="1"/>
  <c r="AV98" i="1"/>
  <c r="AW98" i="1" s="1"/>
  <c r="AZ98" i="1"/>
  <c r="BD98" i="1"/>
  <c r="BH98" i="1"/>
  <c r="BL98" i="1"/>
  <c r="BP98" i="1"/>
  <c r="BT98" i="1"/>
  <c r="BU98" i="1" s="1"/>
  <c r="BX98" i="1"/>
  <c r="CB98" i="1"/>
  <c r="AB70" i="1"/>
  <c r="AC70" i="1" s="1"/>
  <c r="AF70" i="1"/>
  <c r="AG70" i="1" s="1"/>
  <c r="AJ70" i="1"/>
  <c r="AN70" i="1"/>
  <c r="AO70" i="1" s="1"/>
  <c r="AR70" i="1"/>
  <c r="AV70" i="1"/>
  <c r="AW70" i="1" s="1"/>
  <c r="AZ70" i="1"/>
  <c r="BD70" i="1"/>
  <c r="BE70" i="1" s="1"/>
  <c r="BH70" i="1"/>
  <c r="BI70" i="1" s="1"/>
  <c r="BL70" i="1"/>
  <c r="BM70" i="1" s="1"/>
  <c r="BP70" i="1"/>
  <c r="BT70" i="1"/>
  <c r="BU70" i="1" s="1"/>
  <c r="BX70" i="1"/>
  <c r="BY70" i="1" s="1"/>
  <c r="CB70" i="1"/>
  <c r="CC70" i="1" s="1"/>
  <c r="BQ70" i="1"/>
  <c r="BA70" i="1"/>
  <c r="AK70" i="1"/>
  <c r="AB82" i="1"/>
  <c r="AC82" i="1" s="1"/>
  <c r="AJ82" i="1"/>
  <c r="AK82" i="1" s="1"/>
  <c r="AR82" i="1"/>
  <c r="AS82" i="1" s="1"/>
  <c r="AZ82" i="1"/>
  <c r="BA82" i="1" s="1"/>
  <c r="BH82" i="1"/>
  <c r="BI82" i="1" s="1"/>
  <c r="BP82" i="1"/>
  <c r="BQ82" i="1" s="1"/>
  <c r="BX82" i="1"/>
  <c r="BY82" i="1" s="1"/>
  <c r="AN82" i="1"/>
  <c r="AO82" i="1" s="1"/>
  <c r="BT82" i="1"/>
  <c r="BU82" i="1" s="1"/>
  <c r="AV82" i="1"/>
  <c r="AW82" i="1" s="1"/>
  <c r="CB82" i="1"/>
  <c r="CC82" i="1" s="1"/>
  <c r="BD82" i="1"/>
  <c r="BE82" i="1" s="1"/>
  <c r="BL82" i="1"/>
  <c r="BM82" i="1" s="1"/>
  <c r="AF82" i="1"/>
  <c r="AG82" i="1" s="1"/>
  <c r="AM54" i="1"/>
  <c r="AO54" i="1" s="1"/>
  <c r="BC54" i="1"/>
  <c r="BE54" i="1" s="1"/>
  <c r="BS54" i="1"/>
  <c r="BU54" i="1" s="1"/>
  <c r="AI54" i="1"/>
  <c r="AK54" i="1" s="1"/>
  <c r="AY54" i="1"/>
  <c r="BA54" i="1" s="1"/>
  <c r="BO54" i="1"/>
  <c r="BQ54" i="1" s="1"/>
  <c r="AE54" i="1"/>
  <c r="AG54" i="1" s="1"/>
  <c r="AU54" i="1"/>
  <c r="AW54" i="1" s="1"/>
  <c r="BK54" i="1"/>
  <c r="BM54" i="1" s="1"/>
  <c r="CA54" i="1"/>
  <c r="CC54" i="1" s="1"/>
  <c r="AA54" i="1"/>
  <c r="AC54" i="1" s="1"/>
  <c r="BW54" i="1"/>
  <c r="BY54" i="1" s="1"/>
  <c r="BG54" i="1"/>
  <c r="BI54" i="1" s="1"/>
  <c r="AQ54" i="1"/>
  <c r="AS54" i="1" s="1"/>
  <c r="AI55" i="1"/>
  <c r="AK55" i="1" s="1"/>
  <c r="AY55" i="1"/>
  <c r="BA55" i="1" s="1"/>
  <c r="BO55" i="1"/>
  <c r="BQ55" i="1" s="1"/>
  <c r="AE55" i="1"/>
  <c r="AG55" i="1" s="1"/>
  <c r="AU55" i="1"/>
  <c r="AW55" i="1" s="1"/>
  <c r="BK55" i="1"/>
  <c r="BM55" i="1" s="1"/>
  <c r="CA55" i="1"/>
  <c r="CC55" i="1" s="1"/>
  <c r="AA55" i="1"/>
  <c r="AC55" i="1" s="1"/>
  <c r="AQ55" i="1"/>
  <c r="AS55" i="1" s="1"/>
  <c r="BG55" i="1"/>
  <c r="BI55" i="1" s="1"/>
  <c r="BW55" i="1"/>
  <c r="BY55" i="1" s="1"/>
  <c r="BS55" i="1"/>
  <c r="BU55" i="1" s="1"/>
  <c r="BC55" i="1"/>
  <c r="BE55" i="1" s="1"/>
  <c r="AM55" i="1"/>
  <c r="AO55" i="1" s="1"/>
  <c r="AM40" i="1"/>
  <c r="AO40" i="1" s="1"/>
  <c r="BC40" i="1"/>
  <c r="BE40" i="1" s="1"/>
  <c r="BS40" i="1"/>
  <c r="BU40" i="1" s="1"/>
  <c r="AU40" i="1"/>
  <c r="AW40" i="1" s="1"/>
  <c r="BW40" i="1"/>
  <c r="BY40" i="1" s="1"/>
  <c r="AA40" i="1"/>
  <c r="AC40" i="1" s="1"/>
  <c r="AI40" i="1"/>
  <c r="AK40" i="1" s="1"/>
  <c r="BK40" i="1"/>
  <c r="BM40" i="1" s="1"/>
  <c r="AQ40" i="1"/>
  <c r="AS40" i="1" s="1"/>
  <c r="AY40" i="1"/>
  <c r="BA40" i="1" s="1"/>
  <c r="CA40" i="1"/>
  <c r="CC40" i="1" s="1"/>
  <c r="BO40" i="1"/>
  <c r="BQ40" i="1" s="1"/>
  <c r="AE40" i="1"/>
  <c r="AG40" i="1" s="1"/>
  <c r="BG40" i="1"/>
  <c r="BI40" i="1" s="1"/>
  <c r="AI12" i="1"/>
  <c r="AY12" i="1"/>
  <c r="BO12" i="1"/>
  <c r="BQ12" i="1" s="1"/>
  <c r="AA12" i="1"/>
  <c r="BC12" i="1"/>
  <c r="BE12" i="1" s="1"/>
  <c r="BK12" i="1"/>
  <c r="BM12" i="1" s="1"/>
  <c r="AQ12" i="1"/>
  <c r="AS12" i="1" s="1"/>
  <c r="BS12" i="1"/>
  <c r="CA12" i="1"/>
  <c r="CC12" i="1" s="1"/>
  <c r="AU12" i="1"/>
  <c r="BW12" i="1"/>
  <c r="BY12" i="1" s="1"/>
  <c r="AM12" i="1"/>
  <c r="BG12" i="1"/>
  <c r="BI12" i="1" s="1"/>
  <c r="AE12" i="1"/>
  <c r="CC141" i="1"/>
  <c r="AK141" i="1"/>
  <c r="AW141" i="1"/>
  <c r="AS141" i="1"/>
  <c r="CC143" i="1"/>
  <c r="BA143" i="1"/>
  <c r="BE143" i="1"/>
  <c r="AS143" i="1"/>
  <c r="AF80" i="1"/>
  <c r="AN80" i="1"/>
  <c r="AV80" i="1"/>
  <c r="BD80" i="1"/>
  <c r="BL80" i="1"/>
  <c r="BT80" i="1"/>
  <c r="CB80" i="1"/>
  <c r="AB80" i="1"/>
  <c r="BH80" i="1"/>
  <c r="AJ80" i="1"/>
  <c r="BP80" i="1"/>
  <c r="AR80" i="1"/>
  <c r="BX80" i="1"/>
  <c r="AZ80" i="1"/>
  <c r="BY62" i="1"/>
  <c r="BI62" i="1"/>
  <c r="AS62" i="1"/>
  <c r="AC62" i="1"/>
  <c r="AA85" i="1"/>
  <c r="AC85" i="1" s="1"/>
  <c r="AE85" i="1"/>
  <c r="AG85" i="1" s="1"/>
  <c r="AI85" i="1"/>
  <c r="AK85" i="1" s="1"/>
  <c r="AM85" i="1"/>
  <c r="AO85" i="1" s="1"/>
  <c r="AQ85" i="1"/>
  <c r="AS85" i="1" s="1"/>
  <c r="AU85" i="1"/>
  <c r="AW85" i="1" s="1"/>
  <c r="AY85" i="1"/>
  <c r="BA85" i="1" s="1"/>
  <c r="BC85" i="1"/>
  <c r="BE85" i="1" s="1"/>
  <c r="BG85" i="1"/>
  <c r="BI85" i="1" s="1"/>
  <c r="BK85" i="1"/>
  <c r="BM85" i="1" s="1"/>
  <c r="BO85" i="1"/>
  <c r="BQ85" i="1" s="1"/>
  <c r="BS85" i="1"/>
  <c r="BU85" i="1" s="1"/>
  <c r="BW85" i="1"/>
  <c r="BY85" i="1" s="1"/>
  <c r="CA85" i="1"/>
  <c r="CC85" i="1" s="1"/>
  <c r="CC68" i="1"/>
  <c r="BM68" i="1"/>
  <c r="AW68" i="1"/>
  <c r="AG68" i="1"/>
  <c r="CC36" i="1"/>
  <c r="BM36" i="1"/>
  <c r="AW36" i="1"/>
  <c r="AG36" i="1"/>
  <c r="AB58" i="1"/>
  <c r="AJ58" i="1"/>
  <c r="AN58" i="1"/>
  <c r="AR58" i="1"/>
  <c r="AV58" i="1"/>
  <c r="AZ58" i="1"/>
  <c r="BD58" i="1"/>
  <c r="BH58" i="1"/>
  <c r="BL58" i="1"/>
  <c r="BP58" i="1"/>
  <c r="BT58" i="1"/>
  <c r="BX58" i="1"/>
  <c r="CB58" i="1"/>
  <c r="AF58" i="1"/>
  <c r="CC26" i="1"/>
  <c r="AJ34" i="1"/>
  <c r="AZ34" i="1"/>
  <c r="BP34" i="1"/>
  <c r="AN34" i="1"/>
  <c r="AV34" i="1"/>
  <c r="BX34" i="1"/>
  <c r="AB34" i="1"/>
  <c r="BD34" i="1"/>
  <c r="BL34" i="1"/>
  <c r="AF34" i="1"/>
  <c r="BH34" i="1"/>
  <c r="CB34" i="1"/>
  <c r="AR34" i="1"/>
  <c r="BT34" i="1"/>
  <c r="BI21" i="1"/>
  <c r="BQ15" i="1"/>
  <c r="AB102" i="1"/>
  <c r="AF102" i="1"/>
  <c r="AJ102" i="1"/>
  <c r="AN102" i="1"/>
  <c r="AR102" i="1"/>
  <c r="AV102" i="1"/>
  <c r="AZ102" i="1"/>
  <c r="BD102" i="1"/>
  <c r="BH102" i="1"/>
  <c r="BL102" i="1"/>
  <c r="BP102" i="1"/>
  <c r="BT102" i="1"/>
  <c r="BX102" i="1"/>
  <c r="CB102" i="1"/>
  <c r="AA96" i="1"/>
  <c r="AC96" i="1" s="1"/>
  <c r="AE96" i="1"/>
  <c r="AG96" i="1" s="1"/>
  <c r="AI96" i="1"/>
  <c r="AK96" i="1" s="1"/>
  <c r="AM96" i="1"/>
  <c r="AO96" i="1" s="1"/>
  <c r="AQ96" i="1"/>
  <c r="AS96" i="1" s="1"/>
  <c r="AU96" i="1"/>
  <c r="AW96" i="1" s="1"/>
  <c r="AY96" i="1"/>
  <c r="BA96" i="1" s="1"/>
  <c r="BC96" i="1"/>
  <c r="BE96" i="1" s="1"/>
  <c r="BG96" i="1"/>
  <c r="BI96" i="1" s="1"/>
  <c r="BK96" i="1"/>
  <c r="BM96" i="1" s="1"/>
  <c r="BO96" i="1"/>
  <c r="BQ96" i="1" s="1"/>
  <c r="BS96" i="1"/>
  <c r="BU96" i="1" s="1"/>
  <c r="BW96" i="1"/>
  <c r="BY96" i="1" s="1"/>
  <c r="CA96" i="1"/>
  <c r="CC96" i="1" s="1"/>
  <c r="CC66" i="1"/>
  <c r="BM66" i="1"/>
  <c r="AW66" i="1"/>
  <c r="AG66" i="1"/>
  <c r="CC67" i="1"/>
  <c r="BM67" i="1"/>
  <c r="AW67" i="1"/>
  <c r="AG67" i="1"/>
  <c r="BQ69" i="1"/>
  <c r="BA69" i="1"/>
  <c r="AK69" i="1"/>
  <c r="AS61" i="1"/>
  <c r="AA27" i="1"/>
  <c r="AE27" i="1"/>
  <c r="AG27" i="1" s="1"/>
  <c r="AI27" i="1"/>
  <c r="AK27" i="1" s="1"/>
  <c r="AM27" i="1"/>
  <c r="AO27" i="1" s="1"/>
  <c r="AQ27" i="1"/>
  <c r="AU27" i="1"/>
  <c r="AY27" i="1"/>
  <c r="BA27" i="1" s="1"/>
  <c r="BC27" i="1"/>
  <c r="BE27" i="1" s="1"/>
  <c r="BW27" i="1"/>
  <c r="BY27" i="1" s="1"/>
  <c r="BO27" i="1"/>
  <c r="BQ27" i="1" s="1"/>
  <c r="CA27" i="1"/>
  <c r="CC27" i="1" s="1"/>
  <c r="BG27" i="1"/>
  <c r="BI27" i="1" s="1"/>
  <c r="BS27" i="1"/>
  <c r="BU27" i="1" s="1"/>
  <c r="BK27" i="1"/>
  <c r="BE25" i="1"/>
  <c r="BY25" i="1"/>
  <c r="CC25" i="1"/>
  <c r="AA39" i="1"/>
  <c r="AC39" i="1" s="1"/>
  <c r="AQ39" i="1"/>
  <c r="AS39" i="1" s="1"/>
  <c r="BG39" i="1"/>
  <c r="BI39" i="1" s="1"/>
  <c r="BW39" i="1"/>
  <c r="BY39" i="1" s="1"/>
  <c r="AY39" i="1"/>
  <c r="BA39" i="1" s="1"/>
  <c r="CA39" i="1"/>
  <c r="CC39" i="1" s="1"/>
  <c r="AE39" i="1"/>
  <c r="AG39" i="1" s="1"/>
  <c r="AM39" i="1"/>
  <c r="AO39" i="1" s="1"/>
  <c r="BO39" i="1"/>
  <c r="BQ39" i="1" s="1"/>
  <c r="AU39" i="1"/>
  <c r="AW39" i="1" s="1"/>
  <c r="BC39" i="1"/>
  <c r="BE39" i="1" s="1"/>
  <c r="AI39" i="1"/>
  <c r="AK39" i="1" s="1"/>
  <c r="BK39" i="1"/>
  <c r="BM39" i="1" s="1"/>
  <c r="BS39" i="1"/>
  <c r="BU39" i="1" s="1"/>
  <c r="AI41" i="1"/>
  <c r="AK41" i="1" s="1"/>
  <c r="AY41" i="1"/>
  <c r="BA41" i="1" s="1"/>
  <c r="BO41" i="1"/>
  <c r="BQ41" i="1" s="1"/>
  <c r="AA41" i="1"/>
  <c r="AC41" i="1" s="1"/>
  <c r="BC41" i="1"/>
  <c r="BE41" i="1" s="1"/>
  <c r="BK41" i="1"/>
  <c r="BM41" i="1" s="1"/>
  <c r="AQ41" i="1"/>
  <c r="AS41" i="1" s="1"/>
  <c r="BS41" i="1"/>
  <c r="BU41" i="1" s="1"/>
  <c r="AE41" i="1"/>
  <c r="AG41" i="1" s="1"/>
  <c r="BG41" i="1"/>
  <c r="BI41" i="1" s="1"/>
  <c r="CA41" i="1"/>
  <c r="CC41" i="1" s="1"/>
  <c r="AM41" i="1"/>
  <c r="AO41" i="1" s="1"/>
  <c r="AU41" i="1"/>
  <c r="AW41" i="1" s="1"/>
  <c r="BW41" i="1"/>
  <c r="BY41" i="1" s="1"/>
  <c r="AB91" i="1"/>
  <c r="AC91" i="1" s="1"/>
  <c r="AF91" i="1"/>
  <c r="AJ91" i="1"/>
  <c r="AK91" i="1" s="1"/>
  <c r="AN91" i="1"/>
  <c r="AR91" i="1"/>
  <c r="AV91" i="1"/>
  <c r="AZ91" i="1"/>
  <c r="BD91" i="1"/>
  <c r="BH91" i="1"/>
  <c r="BL91" i="1"/>
  <c r="BM91" i="1" s="1"/>
  <c r="BP91" i="1"/>
  <c r="BT91" i="1"/>
  <c r="BX91" i="1"/>
  <c r="CB91" i="1"/>
  <c r="BQ98" i="1"/>
  <c r="BA98" i="1"/>
  <c r="AK98" i="1"/>
  <c r="AB92" i="1"/>
  <c r="AF92" i="1"/>
  <c r="AJ92" i="1"/>
  <c r="AN92" i="1"/>
  <c r="AR92" i="1"/>
  <c r="AV92" i="1"/>
  <c r="AZ92" i="1"/>
  <c r="BD92" i="1"/>
  <c r="BH92" i="1"/>
  <c r="BL92" i="1"/>
  <c r="BP92" i="1"/>
  <c r="BT92" i="1"/>
  <c r="BX92" i="1"/>
  <c r="CB92" i="1"/>
  <c r="AS84" i="1"/>
  <c r="AB106" i="1"/>
  <c r="AF106" i="1"/>
  <c r="AJ106" i="1"/>
  <c r="AN106" i="1"/>
  <c r="AR106" i="1"/>
  <c r="AV106" i="1"/>
  <c r="AZ106" i="1"/>
  <c r="BD106" i="1"/>
  <c r="BH106" i="1"/>
  <c r="BL106" i="1"/>
  <c r="BP106" i="1"/>
  <c r="BT106" i="1"/>
  <c r="BX106" i="1"/>
  <c r="CB106" i="1"/>
  <c r="AA60" i="1"/>
  <c r="AC60" i="1" s="1"/>
  <c r="AE60" i="1"/>
  <c r="AG60" i="1" s="1"/>
  <c r="AI60" i="1"/>
  <c r="AK60" i="1" s="1"/>
  <c r="AM60" i="1"/>
  <c r="AO60" i="1" s="1"/>
  <c r="AQ60" i="1"/>
  <c r="AS60" i="1" s="1"/>
  <c r="AU60" i="1"/>
  <c r="AW60" i="1" s="1"/>
  <c r="AY60" i="1"/>
  <c r="BA60" i="1" s="1"/>
  <c r="BC60" i="1"/>
  <c r="BG60" i="1"/>
  <c r="BI60" i="1" s="1"/>
  <c r="BK60" i="1"/>
  <c r="BO60" i="1"/>
  <c r="BQ60" i="1" s="1"/>
  <c r="BS60" i="1"/>
  <c r="BU60" i="1" s="1"/>
  <c r="BW60" i="1"/>
  <c r="BY60" i="1" s="1"/>
  <c r="CA60" i="1"/>
  <c r="CC60" i="1" s="1"/>
  <c r="BM27" i="1"/>
  <c r="AW27" i="1"/>
  <c r="AF84" i="1"/>
  <c r="AN84" i="1"/>
  <c r="AV84" i="1"/>
  <c r="BD84" i="1"/>
  <c r="BL84" i="1"/>
  <c r="BT84" i="1"/>
  <c r="CB84" i="1"/>
  <c r="CC84" i="1" s="1"/>
  <c r="AR84" i="1"/>
  <c r="BX84" i="1"/>
  <c r="BY84" i="1" s="1"/>
  <c r="AZ84" i="1"/>
  <c r="AB84" i="1"/>
  <c r="AC84" i="1" s="1"/>
  <c r="BH84" i="1"/>
  <c r="BI84" i="1" s="1"/>
  <c r="BP84" i="1"/>
  <c r="AJ84" i="1"/>
  <c r="AJ52" i="1"/>
  <c r="AZ52" i="1"/>
  <c r="BP52" i="1"/>
  <c r="AF52" i="1"/>
  <c r="AV52" i="1"/>
  <c r="BL52" i="1"/>
  <c r="CB52" i="1"/>
  <c r="AB52" i="1"/>
  <c r="AR52" i="1"/>
  <c r="BH52" i="1"/>
  <c r="BX52" i="1"/>
  <c r="AN52" i="1"/>
  <c r="BT52" i="1"/>
  <c r="BD52" i="1"/>
  <c r="AN51" i="1"/>
  <c r="BD51" i="1"/>
  <c r="BT51" i="1"/>
  <c r="AJ51" i="1"/>
  <c r="AZ51" i="1"/>
  <c r="BP51" i="1"/>
  <c r="AF51" i="1"/>
  <c r="AV51" i="1"/>
  <c r="BL51" i="1"/>
  <c r="CB51" i="1"/>
  <c r="BX51" i="1"/>
  <c r="BH51" i="1"/>
  <c r="AR51" i="1"/>
  <c r="AB51" i="1"/>
  <c r="AC12" i="1"/>
  <c r="AK12" i="1"/>
  <c r="AG12" i="1"/>
  <c r="AS52" i="1" l="1"/>
  <c r="AK106" i="1"/>
  <c r="AG113" i="1"/>
  <c r="BY110" i="1"/>
  <c r="AS110" i="1"/>
  <c r="BQ88" i="1"/>
  <c r="BA88" i="1"/>
  <c r="BY56" i="1"/>
  <c r="CC56" i="1"/>
  <c r="BI33" i="1"/>
  <c r="AG53" i="1"/>
  <c r="AW78" i="1"/>
  <c r="AG78" i="1"/>
  <c r="AG29" i="1"/>
  <c r="AG51" i="1"/>
  <c r="BA34" i="1"/>
  <c r="BI110" i="1"/>
  <c r="AC110" i="1"/>
  <c r="AK88" i="1"/>
  <c r="BY51" i="1"/>
  <c r="CC51" i="1"/>
  <c r="BQ51" i="1"/>
  <c r="BA52" i="1"/>
  <c r="AO52" i="1"/>
  <c r="AC52" i="1"/>
  <c r="AG52" i="1"/>
  <c r="CC106" i="1"/>
  <c r="BM106" i="1"/>
  <c r="AW106" i="1"/>
  <c r="AG106" i="1"/>
  <c r="CC92" i="1"/>
  <c r="BM92" i="1"/>
  <c r="AW92" i="1"/>
  <c r="AG92" i="1"/>
  <c r="BU102" i="1"/>
  <c r="BE102" i="1"/>
  <c r="AO102" i="1"/>
  <c r="BI34" i="1"/>
  <c r="BY34" i="1"/>
  <c r="BE34" i="1"/>
  <c r="AW34" i="1"/>
  <c r="CC58" i="1"/>
  <c r="BM58" i="1"/>
  <c r="AW58" i="1"/>
  <c r="CC80" i="1"/>
  <c r="BM80" i="1"/>
  <c r="AW80" i="1"/>
  <c r="AG80" i="1"/>
  <c r="CC89" i="1"/>
  <c r="BM89" i="1"/>
  <c r="AW89" i="1"/>
  <c r="AG89" i="1"/>
  <c r="BU97" i="1"/>
  <c r="BE97" i="1"/>
  <c r="AO97" i="1"/>
  <c r="CC105" i="1"/>
  <c r="BM105" i="1"/>
  <c r="AW105" i="1"/>
  <c r="AG105" i="1"/>
  <c r="CC113" i="1"/>
  <c r="AO113" i="1"/>
  <c r="AS113" i="1"/>
  <c r="BU104" i="1"/>
  <c r="BE104" i="1"/>
  <c r="AO104" i="1"/>
  <c r="BU110" i="1"/>
  <c r="BE110" i="1"/>
  <c r="AO110" i="1"/>
  <c r="CC74" i="1"/>
  <c r="BM74" i="1"/>
  <c r="AW74" i="1"/>
  <c r="AG74" i="1"/>
  <c r="CC88" i="1"/>
  <c r="BM88" i="1"/>
  <c r="AW88" i="1"/>
  <c r="AG88" i="1"/>
  <c r="BU108" i="1"/>
  <c r="BE108" i="1"/>
  <c r="AO108" i="1"/>
  <c r="BY93" i="1"/>
  <c r="BI93" i="1"/>
  <c r="AS93" i="1"/>
  <c r="AC93" i="1"/>
  <c r="BQ101" i="1"/>
  <c r="BA101" i="1"/>
  <c r="AK101" i="1"/>
  <c r="BY109" i="1"/>
  <c r="BI109" i="1"/>
  <c r="AS109" i="1"/>
  <c r="AC109" i="1"/>
  <c r="AW57" i="1"/>
  <c r="AK57" i="1"/>
  <c r="BY57" i="1"/>
  <c r="BY14" i="1"/>
  <c r="CC14" i="1"/>
  <c r="BQ14" i="1"/>
  <c r="BU56" i="1"/>
  <c r="BI56" i="1"/>
  <c r="BM56" i="1"/>
  <c r="AG33" i="1"/>
  <c r="BE33" i="1"/>
  <c r="AO33" i="1"/>
  <c r="AW53" i="1"/>
  <c r="BU53" i="1"/>
  <c r="BI53" i="1"/>
  <c r="BY78" i="1"/>
  <c r="BI78" i="1"/>
  <c r="AS78" i="1"/>
  <c r="AC78" i="1"/>
  <c r="CC29" i="1"/>
  <c r="BE29" i="1"/>
  <c r="AO29" i="1"/>
  <c r="AS32" i="1"/>
  <c r="BY32" i="1"/>
  <c r="AG32" i="1"/>
  <c r="AK52" i="1"/>
  <c r="BA106" i="1"/>
  <c r="BU51" i="1"/>
  <c r="BI51" i="1"/>
  <c r="BM51" i="1"/>
  <c r="BA51" i="1"/>
  <c r="BQ52" i="1"/>
  <c r="BY52" i="1"/>
  <c r="CC52" i="1"/>
  <c r="BY106" i="1"/>
  <c r="BI106" i="1"/>
  <c r="AS106" i="1"/>
  <c r="AC106" i="1"/>
  <c r="BY92" i="1"/>
  <c r="BI92" i="1"/>
  <c r="AS92" i="1"/>
  <c r="AC92" i="1"/>
  <c r="BQ102" i="1"/>
  <c r="BA102" i="1"/>
  <c r="AK102" i="1"/>
  <c r="BQ34" i="1"/>
  <c r="BU34" i="1"/>
  <c r="AC34" i="1"/>
  <c r="AG34" i="1"/>
  <c r="BY58" i="1"/>
  <c r="BI58" i="1"/>
  <c r="AS58" i="1"/>
  <c r="BY80" i="1"/>
  <c r="BI80" i="1"/>
  <c r="AS80" i="1"/>
  <c r="AC80" i="1"/>
  <c r="BY89" i="1"/>
  <c r="BI89" i="1"/>
  <c r="AS89" i="1"/>
  <c r="AC89" i="1"/>
  <c r="BQ97" i="1"/>
  <c r="BA97" i="1"/>
  <c r="AK97" i="1"/>
  <c r="BY105" i="1"/>
  <c r="BI105" i="1"/>
  <c r="AS105" i="1"/>
  <c r="AC105" i="1"/>
  <c r="BM113" i="1"/>
  <c r="BU113" i="1"/>
  <c r="AK113" i="1"/>
  <c r="BQ104" i="1"/>
  <c r="BA104" i="1"/>
  <c r="AK104" i="1"/>
  <c r="BQ112" i="1"/>
  <c r="BQ110" i="1"/>
  <c r="BA110" i="1"/>
  <c r="AK110" i="1"/>
  <c r="BY74" i="1"/>
  <c r="BI74" i="1"/>
  <c r="AS74" i="1"/>
  <c r="AC74" i="1"/>
  <c r="BY88" i="1"/>
  <c r="BI88" i="1"/>
  <c r="AS88" i="1"/>
  <c r="AC88" i="1"/>
  <c r="BQ108" i="1"/>
  <c r="BA108" i="1"/>
  <c r="AK108" i="1"/>
  <c r="BU93" i="1"/>
  <c r="BE93" i="1"/>
  <c r="AO93" i="1"/>
  <c r="CC101" i="1"/>
  <c r="BM101" i="1"/>
  <c r="AW101" i="1"/>
  <c r="AG101" i="1"/>
  <c r="BU109" i="1"/>
  <c r="BE109" i="1"/>
  <c r="AO109" i="1"/>
  <c r="BM57" i="1"/>
  <c r="BU57" i="1"/>
  <c r="BI57" i="1"/>
  <c r="AC14" i="1"/>
  <c r="AS14" i="1"/>
  <c r="BM14" i="1"/>
  <c r="BA14" i="1"/>
  <c r="BA56" i="1"/>
  <c r="BE56" i="1"/>
  <c r="AS56" i="1"/>
  <c r="AW56" i="1"/>
  <c r="BU33" i="1"/>
  <c r="AC33" i="1"/>
  <c r="BQ33" i="1"/>
  <c r="BM53" i="1"/>
  <c r="BQ53" i="1"/>
  <c r="BE53" i="1"/>
  <c r="AS53" i="1"/>
  <c r="BU78" i="1"/>
  <c r="BE78" i="1"/>
  <c r="AO78" i="1"/>
  <c r="BU29" i="1"/>
  <c r="AC29" i="1"/>
  <c r="BQ29" i="1"/>
  <c r="BM32" i="1"/>
  <c r="AW32" i="1"/>
  <c r="BU32" i="1"/>
  <c r="AW52" i="1"/>
  <c r="BQ106" i="1"/>
  <c r="AW113" i="1"/>
  <c r="BQ100" i="1"/>
  <c r="BA100" i="1"/>
  <c r="AK100" i="1"/>
  <c r="AO51" i="1"/>
  <c r="AS51" i="1"/>
  <c r="AW51" i="1"/>
  <c r="AK51" i="1"/>
  <c r="BU52" i="1"/>
  <c r="BI52" i="1"/>
  <c r="BM52" i="1"/>
  <c r="BU106" i="1"/>
  <c r="BE106" i="1"/>
  <c r="AO106" i="1"/>
  <c r="BU92" i="1"/>
  <c r="BE92" i="1"/>
  <c r="AO92" i="1"/>
  <c r="CC102" i="1"/>
  <c r="BM102" i="1"/>
  <c r="AW102" i="1"/>
  <c r="AG102" i="1"/>
  <c r="AO34" i="1"/>
  <c r="AS34" i="1"/>
  <c r="CC34" i="1"/>
  <c r="AC58" i="1"/>
  <c r="BU58" i="1"/>
  <c r="BE58" i="1"/>
  <c r="AO58" i="1"/>
  <c r="BU80" i="1"/>
  <c r="BE80" i="1"/>
  <c r="AO80" i="1"/>
  <c r="BU89" i="1"/>
  <c r="BE89" i="1"/>
  <c r="AO89" i="1"/>
  <c r="CC97" i="1"/>
  <c r="BM97" i="1"/>
  <c r="AW97" i="1"/>
  <c r="AG97" i="1"/>
  <c r="BU105" i="1"/>
  <c r="BE105" i="1"/>
  <c r="AO105" i="1"/>
  <c r="BQ113" i="1"/>
  <c r="BY113" i="1"/>
  <c r="BE113" i="1"/>
  <c r="AC113" i="1"/>
  <c r="CC104" i="1"/>
  <c r="BM104" i="1"/>
  <c r="AW104" i="1"/>
  <c r="AG104" i="1"/>
  <c r="CC110" i="1"/>
  <c r="BM110" i="1"/>
  <c r="AW110" i="1"/>
  <c r="AG110" i="1"/>
  <c r="BU74" i="1"/>
  <c r="BE74" i="1"/>
  <c r="AO74" i="1"/>
  <c r="BU88" i="1"/>
  <c r="BE88" i="1"/>
  <c r="AO88" i="1"/>
  <c r="CC108" i="1"/>
  <c r="BM108" i="1"/>
  <c r="AW108" i="1"/>
  <c r="AG108" i="1"/>
  <c r="BQ93" i="1"/>
  <c r="BA93" i="1"/>
  <c r="AK93" i="1"/>
  <c r="BY101" i="1"/>
  <c r="BI101" i="1"/>
  <c r="AS101" i="1"/>
  <c r="AC101" i="1"/>
  <c r="BQ109" i="1"/>
  <c r="BA109" i="1"/>
  <c r="AK109" i="1"/>
  <c r="CC57" i="1"/>
  <c r="BQ57" i="1"/>
  <c r="BE57" i="1"/>
  <c r="AS57" i="1"/>
  <c r="BI14" i="1"/>
  <c r="BU14" i="1"/>
  <c r="AW14" i="1"/>
  <c r="AK14" i="1"/>
  <c r="BQ56" i="1"/>
  <c r="AO56" i="1"/>
  <c r="AC56" i="1"/>
  <c r="AG56" i="1"/>
  <c r="CC33" i="1"/>
  <c r="AS33" i="1"/>
  <c r="BY33" i="1"/>
  <c r="BA33" i="1"/>
  <c r="CC53" i="1"/>
  <c r="BA53" i="1"/>
  <c r="AO53" i="1"/>
  <c r="AC53" i="1"/>
  <c r="BQ78" i="1"/>
  <c r="BA78" i="1"/>
  <c r="AK78" i="1"/>
  <c r="BI29" i="1"/>
  <c r="AS29" i="1"/>
  <c r="BY29" i="1"/>
  <c r="BA29" i="1"/>
  <c r="CC32" i="1"/>
  <c r="AK32" i="1"/>
  <c r="BQ32" i="1"/>
  <c r="BE32" i="1"/>
</calcChain>
</file>

<file path=xl/sharedStrings.xml><?xml version="1.0" encoding="utf-8"?>
<sst xmlns="http://schemas.openxmlformats.org/spreadsheetml/2006/main" count="311" uniqueCount="94">
  <si>
    <t>platform</t>
  </si>
  <si>
    <t>yr 13_total</t>
  </si>
  <si>
    <t>yr 13_pf</t>
  </si>
  <si>
    <t>yr 13_hp</t>
  </si>
  <si>
    <t>yr 13_wl</t>
  </si>
  <si>
    <t>yr 12_total</t>
  </si>
  <si>
    <t>yr 12_pf</t>
  </si>
  <si>
    <t>yr 12_hp</t>
  </si>
  <si>
    <t>yr 12_wl</t>
  </si>
  <si>
    <t>yr 11_total</t>
  </si>
  <si>
    <t>yr 11_pf</t>
  </si>
  <si>
    <t>yr 11_hp</t>
  </si>
  <si>
    <t>yr 11_wl</t>
  </si>
  <si>
    <t>yr 10_total</t>
  </si>
  <si>
    <t>yr 10_pf</t>
  </si>
  <si>
    <t>yr 10_hp</t>
  </si>
  <si>
    <t>yr 10_wl</t>
  </si>
  <si>
    <t>yr 9_total</t>
  </si>
  <si>
    <t>yr 9_pf</t>
  </si>
  <si>
    <t>yr 9_hp</t>
  </si>
  <si>
    <t>yr 9_wl</t>
  </si>
  <si>
    <t>yr 8_total</t>
  </si>
  <si>
    <t>yr 8_pf</t>
  </si>
  <si>
    <t>yr 8_hp</t>
  </si>
  <si>
    <t>yr 8_wl</t>
  </si>
  <si>
    <t>yr 7_total</t>
  </si>
  <si>
    <t>yr 7_pf</t>
  </si>
  <si>
    <t>yr 7_hp</t>
  </si>
  <si>
    <t>yr 7_wl</t>
  </si>
  <si>
    <t>yr 6_total</t>
  </si>
  <si>
    <t>yr 6_pf</t>
  </si>
  <si>
    <t>yr 6_hp</t>
  </si>
  <si>
    <t>yr 6_wl</t>
  </si>
  <si>
    <t>yr 5_total</t>
  </si>
  <si>
    <t>yr 5_pf</t>
  </si>
  <si>
    <t>yr 5_hp</t>
  </si>
  <si>
    <t>yr 5_wl</t>
  </si>
  <si>
    <t>yr 4_total</t>
  </si>
  <si>
    <t>yr 4_pf</t>
  </si>
  <si>
    <t>yr 4_hp</t>
  </si>
  <si>
    <t>yr 4_wl</t>
  </si>
  <si>
    <t>yr 3_total</t>
  </si>
  <si>
    <t>yr 3_pf</t>
  </si>
  <si>
    <t>yr 3_hp</t>
  </si>
  <si>
    <t>yr 3_wl</t>
  </si>
  <si>
    <t>yr 2_total</t>
  </si>
  <si>
    <t>yr 2_pf</t>
  </si>
  <si>
    <t>yr 2_hp</t>
  </si>
  <si>
    <t>yr 2_wl</t>
  </si>
  <si>
    <t>yr 1_total</t>
  </si>
  <si>
    <t>yr 1_pf</t>
  </si>
  <si>
    <t>yr 1_hp</t>
  </si>
  <si>
    <t>yr 1_wl</t>
  </si>
  <si>
    <t>current yr_total</t>
  </si>
  <si>
    <t>current yr_pf</t>
  </si>
  <si>
    <t>current yr_hp</t>
  </si>
  <si>
    <t>current yr_wl</t>
  </si>
  <si>
    <t>Adjusted_ULife_PF</t>
  </si>
  <si>
    <t>Current Age_Platform</t>
  </si>
  <si>
    <t>Adjusted_ULife_HP</t>
  </si>
  <si>
    <t>Current Age_Handpump</t>
  </si>
  <si>
    <t>Years_Next_Rehab_Well</t>
  </si>
  <si>
    <t>Last Rehab Age</t>
  </si>
  <si>
    <t>Current Age_Well</t>
  </si>
  <si>
    <t>Year Last_Rehab_PF</t>
  </si>
  <si>
    <t>Year Installed_PF</t>
  </si>
  <si>
    <t>Item_Platform</t>
  </si>
  <si>
    <t>Reason non functionality</t>
  </si>
  <si>
    <t xml:space="preserve">HP_Functionality </t>
  </si>
  <si>
    <t>Year Last_Rehab_HP</t>
  </si>
  <si>
    <t>Year Installed_HP</t>
  </si>
  <si>
    <t>Item_Handpump</t>
  </si>
  <si>
    <t xml:space="preserve">Year Last_Rehab_WL </t>
  </si>
  <si>
    <t>Item_Rehab_WL</t>
  </si>
  <si>
    <t>Year Installed_WL</t>
  </si>
  <si>
    <t>Item_Well</t>
  </si>
  <si>
    <t>Loc_Description</t>
  </si>
  <si>
    <t>Long</t>
  </si>
  <si>
    <t>Lat</t>
  </si>
  <si>
    <t>Community Name</t>
  </si>
  <si>
    <t>area council name</t>
  </si>
  <si>
    <t>Identifier</t>
  </si>
  <si>
    <t>expected rehab yr - last rehab age</t>
  </si>
  <si>
    <t xml:space="preserve">current yr - last well rehab yr (or well yr if no rehab) </t>
  </si>
  <si>
    <t>asset yr - installed yr</t>
  </si>
  <si>
    <t>currently none is rehabilitated?</t>
  </si>
  <si>
    <t>total</t>
  </si>
  <si>
    <t>Platform</t>
  </si>
  <si>
    <t>Handpump</t>
  </si>
  <si>
    <t>Well rehab</t>
  </si>
  <si>
    <t xml:space="preserve">    Asset Management Cost (AMC)                             Asset Management Cost (AMC)                                                                                                 Asset Management Cost (AMC)                     </t>
  </si>
  <si>
    <t>Calculated fields</t>
  </si>
  <si>
    <t>PROTECTED!!!!</t>
  </si>
  <si>
    <t>ASUTIFI NORTH WATER POINT SOURCES ASSET REGISTER AND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</si>
</sst>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164" fontId="5" fillId="0" borderId="1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</xf>
    <xf numFmtId="164" fontId="2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wrapText="1"/>
    </xf>
    <xf numFmtId="164" fontId="3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right"/>
      <protection locked="0"/>
    </xf>
    <xf numFmtId="164" fontId="6" fillId="0" borderId="0" xfId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Protection="1"/>
    <xf numFmtId="0" fontId="3" fillId="2" borderId="0" xfId="0" applyNumberFormat="1" applyFont="1" applyFill="1" applyBorder="1" applyProtection="1"/>
  </cellXfs>
  <cellStyles count="2">
    <cellStyle name="Comma" xfId="1" builtinId="3"/>
    <cellStyle name="Normal" xfId="0" builtinId="0"/>
  </cellStyles>
  <dxfs count="210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/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6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7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7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7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7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7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rgb="FF0000FF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rgb="FF0000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rgb="FF0000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119682</xdr:colOff>
      <xdr:row>1</xdr:row>
      <xdr:rowOff>179134</xdr:rowOff>
    </xdr:from>
    <xdr:to>
      <xdr:col>18</xdr:col>
      <xdr:colOff>925941</xdr:colOff>
      <xdr:row>5</xdr:row>
      <xdr:rowOff>141175</xdr:rowOff>
    </xdr:to>
    <xdr:sp macro="" textlink="">
      <xdr:nvSpPr>
        <xdr:cNvPr id="2" name="Left-Up Arrow 1"/>
        <xdr:cNvSpPr/>
      </xdr:nvSpPr>
      <xdr:spPr>
        <a:xfrm rot="10800000">
          <a:off x="32523732" y="369634"/>
          <a:ext cx="806259" cy="724041"/>
        </a:xfrm>
        <a:prstGeom prst="left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934720</xdr:colOff>
      <xdr:row>1</xdr:row>
      <xdr:rowOff>111760</xdr:rowOff>
    </xdr:from>
    <xdr:to>
      <xdr:col>20</xdr:col>
      <xdr:colOff>802640</xdr:colOff>
      <xdr:row>3</xdr:row>
      <xdr:rowOff>264160</xdr:rowOff>
    </xdr:to>
    <xdr:sp macro="" textlink="">
      <xdr:nvSpPr>
        <xdr:cNvPr id="3" name="Right Arrow 2"/>
        <xdr:cNvSpPr/>
      </xdr:nvSpPr>
      <xdr:spPr>
        <a:xfrm>
          <a:off x="33338770" y="302260"/>
          <a:ext cx="3468370" cy="45720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plan_Point%20Sources%20Asset%20Management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monitoring_data"/>
      <sheetName val="CapManEx_funding_Analysis"/>
      <sheetName val="Input_EUL_CRC_ERC"/>
      <sheetName val="annual_capmanex graph"/>
      <sheetName val="asset register piped schemes"/>
      <sheetName val="drop downs"/>
      <sheetName val="Sheet1"/>
      <sheetName val="annual capmanex per WPS graph"/>
      <sheetName val="annualcapmanex per capita graph"/>
      <sheetName val="Annual rehab distribution"/>
    </sheetNames>
    <sheetDataSet>
      <sheetData sheetId="0"/>
      <sheetData sheetId="1">
        <row r="4">
          <cell r="A4" t="str">
            <v>122f-g4xu-2qmb</v>
          </cell>
          <cell r="P4" t="str">
            <v>7.051322167484541</v>
          </cell>
          <cell r="Q4" t="str">
            <v>-2.384507042457511</v>
          </cell>
          <cell r="U4" t="str">
            <v>Borehole</v>
          </cell>
          <cell r="V4" t="str">
            <v>Agya Osei Coaco Farm</v>
          </cell>
          <cell r="W4" t="str">
            <v>AfriDev</v>
          </cell>
          <cell r="X4">
            <v>2008</v>
          </cell>
          <cell r="AB4" t="str">
            <v>Borehole redevelopment</v>
          </cell>
          <cell r="BH4" t="str">
            <v>Kenyasi No.2</v>
          </cell>
          <cell r="BI4" t="str">
            <v>Agya Osei</v>
          </cell>
          <cell r="BL4">
            <v>2013</v>
          </cell>
          <cell r="BQ4" t="str">
            <v>No repeat</v>
          </cell>
        </row>
        <row r="5">
          <cell r="A5" t="str">
            <v>1da1-hna1-5</v>
          </cell>
          <cell r="P5" t="str">
            <v>7.016776997455287</v>
          </cell>
          <cell r="Q5" t="str">
            <v>-2.38294071047293</v>
          </cell>
          <cell r="U5" t="str">
            <v>Borehole</v>
          </cell>
          <cell r="V5" t="str">
            <v>Just By The Totuka Road Side</v>
          </cell>
          <cell r="W5" t="str">
            <v>AfriDev</v>
          </cell>
          <cell r="X5">
            <v>2010</v>
          </cell>
          <cell r="AB5" t="str">
            <v>Borehole redevelopment</v>
          </cell>
          <cell r="BH5" t="str">
            <v>Kenyasi No.2</v>
          </cell>
          <cell r="BI5" t="str">
            <v>Yaro Grumakrom</v>
          </cell>
          <cell r="BL5">
            <v>2017</v>
          </cell>
          <cell r="BQ5" t="str">
            <v>partially functional</v>
          </cell>
        </row>
        <row r="6">
          <cell r="A6" t="str">
            <v>1e7m-dn61-gcs0</v>
          </cell>
          <cell r="P6" t="str">
            <v>7.03186357</v>
          </cell>
          <cell r="Q6" t="str">
            <v>-2.7283243</v>
          </cell>
          <cell r="U6" t="str">
            <v>Borehole</v>
          </cell>
          <cell r="V6" t="str">
            <v>Just behind the sign post of Maame Akwafoa</v>
          </cell>
          <cell r="W6" t="str">
            <v>AfriDev</v>
          </cell>
          <cell r="X6">
            <v>2017</v>
          </cell>
          <cell r="AB6" t="str">
            <v>Borehole redevelopment</v>
          </cell>
          <cell r="BH6" t="str">
            <v>GAMBIA</v>
          </cell>
          <cell r="BI6" t="str">
            <v>KRAKYEKROM</v>
          </cell>
          <cell r="BL6">
            <v>2017</v>
          </cell>
          <cell r="BQ6" t="str">
            <v>functional</v>
          </cell>
        </row>
        <row r="7">
          <cell r="A7" t="str">
            <v>1g4m-gyjy-s3v</v>
          </cell>
          <cell r="P7" t="str">
            <v>7.061857429098878</v>
          </cell>
          <cell r="Q7" t="str">
            <v>-2.3978681437315204</v>
          </cell>
          <cell r="U7" t="str">
            <v>Borehole</v>
          </cell>
          <cell r="V7" t="str">
            <v>Agya Akwasi Pong Coaco Farm</v>
          </cell>
          <cell r="W7" t="str">
            <v>AfriDev</v>
          </cell>
          <cell r="X7">
            <v>2005</v>
          </cell>
          <cell r="AB7" t="str">
            <v>Borehole redevelopment</v>
          </cell>
          <cell r="BH7" t="str">
            <v>Kenyasi No.2</v>
          </cell>
          <cell r="BI7" t="str">
            <v>Acheampongkrom</v>
          </cell>
          <cell r="BL7">
            <v>2016</v>
          </cell>
          <cell r="BQ7" t="str">
            <v>not functional</v>
          </cell>
        </row>
        <row r="8">
          <cell r="A8" t="str">
            <v>1kvr-p2yd-m9g4</v>
          </cell>
          <cell r="P8" t="str">
            <v>6.964631901079166</v>
          </cell>
          <cell r="Q8" t="str">
            <v>-2.559574913256663</v>
          </cell>
          <cell r="U8" t="str">
            <v>Borehole</v>
          </cell>
          <cell r="V8" t="str">
            <v>Adjacent The Salvation Army Church</v>
          </cell>
          <cell r="W8" t="str">
            <v>AfriDev</v>
          </cell>
          <cell r="X8">
            <v>2012</v>
          </cell>
          <cell r="AB8" t="str">
            <v>Borehole redevelopment</v>
          </cell>
          <cell r="BH8" t="str">
            <v>Goamu</v>
          </cell>
          <cell r="BI8" t="str">
            <v>Aboagyaa Nkwanta</v>
          </cell>
          <cell r="BL8">
            <v>2017</v>
          </cell>
          <cell r="BQ8" t="str">
            <v>functional</v>
          </cell>
        </row>
        <row r="9">
          <cell r="A9" t="str">
            <v>1s64-wa5y-09tn</v>
          </cell>
          <cell r="P9" t="str">
            <v>7.041633907524567</v>
          </cell>
          <cell r="Q9" t="str">
            <v>-2.3987031229862095</v>
          </cell>
          <cell r="U9" t="str">
            <v>Borehole</v>
          </cell>
          <cell r="V9" t="str">
            <v>At Nana Anthony's Farm</v>
          </cell>
          <cell r="W9" t="str">
            <v>AfriDev</v>
          </cell>
          <cell r="X9">
            <v>2006</v>
          </cell>
          <cell r="AB9" t="str">
            <v>Borehole redevelopment</v>
          </cell>
          <cell r="AJ9" t="str">
            <v>No handpump</v>
          </cell>
          <cell r="BH9" t="str">
            <v>Kenyasi No.2</v>
          </cell>
          <cell r="BI9" t="str">
            <v>Dokyikrom</v>
          </cell>
          <cell r="BL9">
            <v>2017</v>
          </cell>
          <cell r="BQ9" t="str">
            <v>partially functional</v>
          </cell>
        </row>
        <row r="10">
          <cell r="A10" t="str">
            <v>1w91-n803-6ryc</v>
          </cell>
          <cell r="P10" t="str">
            <v>7.065112210117026</v>
          </cell>
          <cell r="Q10" t="str">
            <v>-2.324026271339203</v>
          </cell>
          <cell r="U10" t="str">
            <v>Borehole</v>
          </cell>
          <cell r="V10" t="str">
            <v>Nearer To No 9 NO 10 House</v>
          </cell>
          <cell r="W10" t="str">
            <v>Ghana modified India Mark II</v>
          </cell>
          <cell r="X10">
            <v>1987</v>
          </cell>
          <cell r="AB10" t="str">
            <v>Borehole redevelopment</v>
          </cell>
          <cell r="BH10" t="str">
            <v>Ntotroso</v>
          </cell>
          <cell r="BI10" t="str">
            <v>Gyedu</v>
          </cell>
          <cell r="BL10">
            <v>2013</v>
          </cell>
          <cell r="BQ10" t="str">
            <v>functional</v>
          </cell>
        </row>
        <row r="11">
          <cell r="A11" t="str">
            <v>1ykd-4j1g-euu8</v>
          </cell>
          <cell r="P11" t="str">
            <v>7.070601898496606</v>
          </cell>
          <cell r="Q11" t="str">
            <v>-2.4701744611434258</v>
          </cell>
          <cell r="U11" t="str">
            <v>Borehole</v>
          </cell>
          <cell r="V11" t="str">
            <v>Yaw BREFO</v>
          </cell>
          <cell r="W11" t="str">
            <v>AfriDev</v>
          </cell>
          <cell r="X11">
            <v>2012</v>
          </cell>
          <cell r="AB11" t="str">
            <v>Borehole redevelopment</v>
          </cell>
          <cell r="BH11" t="str">
            <v>GOAMU</v>
          </cell>
          <cell r="BI11" t="str">
            <v>YAW BREFO</v>
          </cell>
          <cell r="BL11">
            <v>2012</v>
          </cell>
          <cell r="BQ11" t="str">
            <v>functional</v>
          </cell>
        </row>
        <row r="12">
          <cell r="A12" t="str">
            <v>207y-9gmb-mu6h</v>
          </cell>
          <cell r="P12" t="str">
            <v>6.97268805438729</v>
          </cell>
          <cell r="Q12" t="str">
            <v>-2.3889683790444325</v>
          </cell>
          <cell r="U12" t="str">
            <v>Borehole</v>
          </cell>
          <cell r="V12" t="str">
            <v>In The Premises Of Sister Matilda</v>
          </cell>
          <cell r="W12" t="str">
            <v>AfriDev</v>
          </cell>
          <cell r="X12">
            <v>2012</v>
          </cell>
          <cell r="AB12" t="str">
            <v>Borehole redevelopment</v>
          </cell>
          <cell r="BH12" t="str">
            <v>Kenyasi No.2</v>
          </cell>
          <cell r="BI12" t="str">
            <v>Kenyasi No.2</v>
          </cell>
          <cell r="BL12">
            <v>2016</v>
          </cell>
          <cell r="BQ12" t="str">
            <v>functional</v>
          </cell>
        </row>
        <row r="13">
          <cell r="A13" t="str">
            <v>21vc-efe8-453f</v>
          </cell>
          <cell r="P13" t="str">
            <v>6.981800233382342</v>
          </cell>
          <cell r="Q13" t="str">
            <v>-2.54265036902569</v>
          </cell>
          <cell r="U13" t="str">
            <v>Borehole</v>
          </cell>
          <cell r="V13" t="str">
            <v>along kensere road</v>
          </cell>
          <cell r="W13" t="str">
            <v>AfriDev</v>
          </cell>
          <cell r="X13">
            <v>2016</v>
          </cell>
          <cell r="AB13" t="str">
            <v>Borehole redevelopment</v>
          </cell>
          <cell r="BH13" t="str">
            <v>GOAMU</v>
          </cell>
          <cell r="BI13" t="str">
            <v>KWAME KOBI</v>
          </cell>
          <cell r="BL13">
            <v>2016</v>
          </cell>
          <cell r="BQ13" t="str">
            <v>functional</v>
          </cell>
        </row>
        <row r="14">
          <cell r="A14" t="str">
            <v>22jn-8ub2-9xna</v>
          </cell>
          <cell r="P14" t="str">
            <v>7.104551434791375</v>
          </cell>
          <cell r="Q14" t="str">
            <v>-2.3071886132049704</v>
          </cell>
          <cell r="U14" t="str">
            <v>Borehole</v>
          </cell>
          <cell r="V14" t="str">
            <v>Nearer To Agya Darkon's House</v>
          </cell>
          <cell r="W14" t="str">
            <v>AfriDev</v>
          </cell>
          <cell r="X14">
            <v>2012</v>
          </cell>
          <cell r="AB14" t="str">
            <v>Borehole redevelopment</v>
          </cell>
          <cell r="AJ14" t="str">
            <v>facility under repair</v>
          </cell>
          <cell r="BH14" t="str">
            <v>Ntotroso</v>
          </cell>
          <cell r="BI14" t="str">
            <v>Ensonyame Ye No.2</v>
          </cell>
          <cell r="BL14">
            <v>2013</v>
          </cell>
          <cell r="BQ14" t="str">
            <v>functional</v>
          </cell>
        </row>
        <row r="15">
          <cell r="A15" t="str">
            <v>27w2-7a50-j634</v>
          </cell>
          <cell r="P15" t="str">
            <v>7.059257052181688</v>
          </cell>
          <cell r="Q15" t="str">
            <v>-2.323361170300312</v>
          </cell>
          <cell r="U15" t="str">
            <v>Borehole</v>
          </cell>
          <cell r="V15" t="str">
            <v>Nearer To Nadef Office</v>
          </cell>
          <cell r="W15" t="str">
            <v>AfriDev</v>
          </cell>
          <cell r="X15">
            <v>2007</v>
          </cell>
          <cell r="AB15" t="str">
            <v>Borehole redevelopment</v>
          </cell>
          <cell r="BH15" t="str">
            <v>Ntotroso</v>
          </cell>
          <cell r="BI15" t="str">
            <v>Ntotroso</v>
          </cell>
          <cell r="BL15">
            <v>2007</v>
          </cell>
          <cell r="BQ15" t="str">
            <v>functional</v>
          </cell>
        </row>
        <row r="16">
          <cell r="A16" t="str">
            <v>2gb1-1n12-86n7</v>
          </cell>
          <cell r="P16" t="str">
            <v>7.007965457787175</v>
          </cell>
          <cell r="Q16" t="str">
            <v>-2.4417928724404216</v>
          </cell>
          <cell r="U16" t="str">
            <v>Borehole</v>
          </cell>
          <cell r="V16" t="str">
            <v>Donkorkrom Krom Junction</v>
          </cell>
          <cell r="W16" t="str">
            <v>AfriDev</v>
          </cell>
          <cell r="X16">
            <v>2013</v>
          </cell>
          <cell r="AB16" t="str">
            <v>Borehole redevelopment</v>
          </cell>
          <cell r="BH16" t="str">
            <v>Goamu</v>
          </cell>
          <cell r="BI16" t="str">
            <v>Owusu Ansahkrom</v>
          </cell>
          <cell r="BL16">
            <v>2017</v>
          </cell>
          <cell r="BQ16" t="str">
            <v>partially functional</v>
          </cell>
        </row>
        <row r="17">
          <cell r="A17" t="str">
            <v>2kcs-h4y8-t3pm</v>
          </cell>
          <cell r="P17" t="str">
            <v>7.042948250677207</v>
          </cell>
          <cell r="Q17" t="str">
            <v>-2.397102229355042</v>
          </cell>
          <cell r="U17" t="str">
            <v>Borehole</v>
          </cell>
          <cell r="V17" t="str">
            <v>Near Cocoa shed</v>
          </cell>
          <cell r="W17" t="str">
            <v>AfriDev</v>
          </cell>
          <cell r="X17">
            <v>2015</v>
          </cell>
          <cell r="AB17" t="str">
            <v>Borehole redevelopment</v>
          </cell>
          <cell r="BH17" t="str">
            <v>KENYASI NO.2</v>
          </cell>
          <cell r="BI17" t="str">
            <v>DOKYIKROM</v>
          </cell>
          <cell r="BL17">
            <v>2017</v>
          </cell>
          <cell r="BQ17" t="str">
            <v>partially functional</v>
          </cell>
        </row>
        <row r="18">
          <cell r="A18" t="str">
            <v>357t-bw2y-122g</v>
          </cell>
          <cell r="P18" t="str">
            <v>7.068763284217903</v>
          </cell>
          <cell r="Q18" t="str">
            <v>-2.4461095987739743</v>
          </cell>
          <cell r="U18" t="str">
            <v>Borehole</v>
          </cell>
          <cell r="V18" t="str">
            <v>Near Nana Osei Bonsu's House</v>
          </cell>
          <cell r="W18" t="str">
            <v>Solar Pump</v>
          </cell>
          <cell r="X18">
            <v>2012</v>
          </cell>
          <cell r="AB18" t="str">
            <v>Borehole redevelopment</v>
          </cell>
          <cell r="BH18" t="str">
            <v>Goamu</v>
          </cell>
          <cell r="BI18" t="str">
            <v>Amangoase</v>
          </cell>
          <cell r="BL18">
            <v>2017</v>
          </cell>
          <cell r="BQ18" t="str">
            <v>functional</v>
          </cell>
        </row>
        <row r="19">
          <cell r="A19" t="str">
            <v>35aj-7bu8-x2d0</v>
          </cell>
          <cell r="P19" t="str">
            <v>7.012450813324318</v>
          </cell>
          <cell r="Q19" t="str">
            <v>-2.45494432583494</v>
          </cell>
          <cell r="U19" t="str">
            <v>Borehole</v>
          </cell>
          <cell r="V19" t="str">
            <v>Behind The Chief's Palace</v>
          </cell>
          <cell r="W19" t="str">
            <v>AfriDev</v>
          </cell>
          <cell r="X19">
            <v>2001</v>
          </cell>
          <cell r="AB19" t="str">
            <v>Borehole redevelopment</v>
          </cell>
          <cell r="AJ19" t="str">
            <v>Handpump broken</v>
          </cell>
          <cell r="BH19" t="str">
            <v>Goamu</v>
          </cell>
          <cell r="BI19" t="str">
            <v>Akosakrom</v>
          </cell>
          <cell r="BL19">
            <v>2016</v>
          </cell>
          <cell r="BQ19" t="str">
            <v>functional</v>
          </cell>
        </row>
        <row r="20">
          <cell r="A20" t="str">
            <v>35e7-mg4w-ufsn</v>
          </cell>
          <cell r="P20" t="str">
            <v>7.01948496</v>
          </cell>
          <cell r="Q20" t="str">
            <v>-2.67493018</v>
          </cell>
          <cell r="U20" t="str">
            <v>Borehole</v>
          </cell>
          <cell r="V20" t="str">
            <v>School premises</v>
          </cell>
          <cell r="W20" t="str">
            <v>AfriDev</v>
          </cell>
          <cell r="X20">
            <v>2017</v>
          </cell>
          <cell r="AB20" t="str">
            <v>Borehole redevelopment</v>
          </cell>
          <cell r="BH20" t="str">
            <v>GAMBIA</v>
          </cell>
          <cell r="BI20" t="str">
            <v>ALHAJIKROM</v>
          </cell>
          <cell r="BL20">
            <v>2017</v>
          </cell>
          <cell r="BQ20" t="str">
            <v>functional</v>
          </cell>
        </row>
        <row r="21">
          <cell r="A21" t="str">
            <v>3bpw-73pr-vyac</v>
          </cell>
          <cell r="P21" t="str">
            <v>7.054650159420261</v>
          </cell>
          <cell r="Q21" t="str">
            <v>-2.5009260241942117</v>
          </cell>
          <cell r="U21" t="str">
            <v>Borehole</v>
          </cell>
          <cell r="V21" t="str">
            <v>Close To Church Of Pentecost</v>
          </cell>
          <cell r="W21" t="str">
            <v>Ghana modified India Mark II</v>
          </cell>
          <cell r="X21">
            <v>1987</v>
          </cell>
          <cell r="AB21" t="str">
            <v>Borehole redevelopment</v>
          </cell>
          <cell r="BH21" t="str">
            <v>Goamu</v>
          </cell>
          <cell r="BI21" t="str">
            <v>Goamu Koforidua</v>
          </cell>
          <cell r="BL21">
            <v>2013</v>
          </cell>
          <cell r="BQ21" t="str">
            <v>functional</v>
          </cell>
        </row>
        <row r="22">
          <cell r="A22" t="str">
            <v>3exe-d4s2-4q97</v>
          </cell>
          <cell r="P22" t="str">
            <v>7.02960743235957</v>
          </cell>
          <cell r="Q22" t="str">
            <v>-2.532713039090836</v>
          </cell>
          <cell r="U22" t="str">
            <v>Borehole</v>
          </cell>
          <cell r="V22" t="str">
            <v>Close Kwame Bodu's House</v>
          </cell>
          <cell r="W22" t="str">
            <v>AfriDev</v>
          </cell>
          <cell r="X22">
            <v>2012</v>
          </cell>
          <cell r="AB22" t="str">
            <v>Borehole redevelopment</v>
          </cell>
          <cell r="BH22" t="str">
            <v>Goamu</v>
          </cell>
          <cell r="BI22" t="str">
            <v>Torkrom No.2</v>
          </cell>
          <cell r="BL22">
            <v>2017</v>
          </cell>
          <cell r="BQ22" t="str">
            <v>partially functional</v>
          </cell>
        </row>
        <row r="23">
          <cell r="A23" t="str">
            <v>3fft-kwec-s5fg</v>
          </cell>
          <cell r="P23" t="str">
            <v>6.9831622672806315</v>
          </cell>
          <cell r="Q23" t="str">
            <v>-2.379594319496235</v>
          </cell>
          <cell r="U23" t="str">
            <v>Borehole</v>
          </cell>
          <cell r="V23" t="str">
            <v>Behind District Assembly</v>
          </cell>
          <cell r="W23" t="str">
            <v>AfriDev</v>
          </cell>
          <cell r="X23">
            <v>2012</v>
          </cell>
          <cell r="AB23" t="str">
            <v>Borehole redevelopment</v>
          </cell>
          <cell r="BH23" t="str">
            <v>Kenyasi No.2</v>
          </cell>
          <cell r="BI23" t="str">
            <v>Byepass</v>
          </cell>
          <cell r="BL23">
            <v>2017</v>
          </cell>
          <cell r="BQ23" t="str">
            <v>functional</v>
          </cell>
        </row>
        <row r="24">
          <cell r="A24" t="str">
            <v>3tym-r00e-a0px</v>
          </cell>
          <cell r="P24" t="str">
            <v>7.03201141086173</v>
          </cell>
          <cell r="Q24" t="str">
            <v>-2.5137009184828987</v>
          </cell>
          <cell r="U24" t="str">
            <v>Borehole</v>
          </cell>
          <cell r="V24" t="str">
            <v>School Premises</v>
          </cell>
          <cell r="W24" t="str">
            <v>AfriDev</v>
          </cell>
          <cell r="X24">
            <v>2008</v>
          </cell>
          <cell r="AB24" t="str">
            <v>Borehole redevelopment</v>
          </cell>
          <cell r="BH24" t="str">
            <v>Goamu</v>
          </cell>
          <cell r="BI24" t="str">
            <v>Gotifi</v>
          </cell>
          <cell r="BL24">
            <v>2008</v>
          </cell>
          <cell r="BQ24" t="str">
            <v>functional</v>
          </cell>
        </row>
        <row r="25">
          <cell r="A25" t="str">
            <v>3vcy-nx2h-uu4f</v>
          </cell>
          <cell r="P25" t="str">
            <v>6.981644314567038</v>
          </cell>
          <cell r="Q25" t="str">
            <v>-2.5162457245453047</v>
          </cell>
          <cell r="U25" t="str">
            <v>Borehole</v>
          </cell>
          <cell r="V25" t="str">
            <v>Behind The Cocoa Shed</v>
          </cell>
          <cell r="W25" t="str">
            <v>AfriDev</v>
          </cell>
          <cell r="X25">
            <v>2013</v>
          </cell>
          <cell r="AB25" t="str">
            <v>Borehole redevelopment</v>
          </cell>
          <cell r="BH25" t="str">
            <v>Goamu</v>
          </cell>
          <cell r="BI25" t="str">
            <v>Adu Kwadwo</v>
          </cell>
          <cell r="BL25">
            <v>2013</v>
          </cell>
          <cell r="BQ25" t="str">
            <v>functional</v>
          </cell>
        </row>
        <row r="26">
          <cell r="A26" t="str">
            <v>45d0-bfdx-h3k6</v>
          </cell>
          <cell r="P26" t="str">
            <v>7.074899032451159</v>
          </cell>
          <cell r="Q26" t="str">
            <v>-2.6178530878905435</v>
          </cell>
          <cell r="U26" t="str">
            <v>Borehole</v>
          </cell>
          <cell r="V26" t="str">
            <v>Aunti Georgina's Premises</v>
          </cell>
          <cell r="W26" t="str">
            <v>Solar Pump</v>
          </cell>
          <cell r="X26">
            <v>2013</v>
          </cell>
          <cell r="AB26" t="str">
            <v>Borehole redevelopment</v>
          </cell>
          <cell r="BH26" t="str">
            <v>Gambia</v>
          </cell>
          <cell r="BI26" t="str">
            <v>Kwanfinfin</v>
          </cell>
          <cell r="BL26">
            <v>2013</v>
          </cell>
          <cell r="BQ26" t="str">
            <v>functional</v>
          </cell>
        </row>
        <row r="27">
          <cell r="A27" t="str">
            <v>47uq-fx27-5a2j</v>
          </cell>
          <cell r="P27" t="str">
            <v>7.039480405555414</v>
          </cell>
          <cell r="Q27" t="str">
            <v>-2.6390018329304463</v>
          </cell>
          <cell r="U27" t="str">
            <v>Borehole</v>
          </cell>
          <cell r="V27" t="str">
            <v>Along Side Of Nsuta Road</v>
          </cell>
          <cell r="W27" t="str">
            <v>AfriDev</v>
          </cell>
          <cell r="X27">
            <v>2007</v>
          </cell>
          <cell r="AB27" t="str">
            <v>Borehole redevelopment</v>
          </cell>
          <cell r="BH27" t="str">
            <v>Gambia</v>
          </cell>
          <cell r="BI27" t="str">
            <v>Gambia No.1</v>
          </cell>
          <cell r="BL27">
            <v>2013</v>
          </cell>
          <cell r="BQ27" t="str">
            <v>functional</v>
          </cell>
        </row>
        <row r="28">
          <cell r="A28" t="str">
            <v>4h4x-gp8s-8ehj</v>
          </cell>
          <cell r="P28" t="str">
            <v>7.0483478415278915</v>
          </cell>
          <cell r="Q28" t="str">
            <v>-2.356959810054146</v>
          </cell>
          <cell r="U28" t="str">
            <v>Borehole</v>
          </cell>
          <cell r="V28" t="str">
            <v>Near The Cocoa Shed</v>
          </cell>
          <cell r="W28" t="str">
            <v>AfriDev</v>
          </cell>
          <cell r="X28">
            <v>2009</v>
          </cell>
          <cell r="AB28" t="str">
            <v>Borehole redevelopment</v>
          </cell>
          <cell r="BH28" t="str">
            <v>Ntotroso</v>
          </cell>
          <cell r="BI28" t="str">
            <v>Manu Shed</v>
          </cell>
          <cell r="BL28">
            <v>2014</v>
          </cell>
          <cell r="BQ28" t="str">
            <v>functional</v>
          </cell>
        </row>
        <row r="29">
          <cell r="A29" t="str">
            <v>4net-j54h-m2a9</v>
          </cell>
          <cell r="P29" t="str">
            <v>6.988086748168818</v>
          </cell>
          <cell r="Q29" t="str">
            <v>-2.38155281868395</v>
          </cell>
          <cell r="U29" t="str">
            <v>Borehole</v>
          </cell>
          <cell r="V29" t="str">
            <v>opposite bypass</v>
          </cell>
          <cell r="W29" t="str">
            <v>AfriDev</v>
          </cell>
          <cell r="X29">
            <v>2014</v>
          </cell>
          <cell r="AB29" t="str">
            <v>Borehole redevelopment</v>
          </cell>
          <cell r="BH29" t="str">
            <v>KENYASI NO.2</v>
          </cell>
          <cell r="BI29" t="str">
            <v>BYEPASS</v>
          </cell>
          <cell r="BL29">
            <v>2014</v>
          </cell>
          <cell r="BQ29" t="str">
            <v>functional</v>
          </cell>
        </row>
        <row r="30">
          <cell r="A30" t="str">
            <v>4pw2-09u8-et8q</v>
          </cell>
          <cell r="P30" t="str">
            <v>7.058194000752721</v>
          </cell>
          <cell r="Q30" t="str">
            <v>-2.4988794355742443</v>
          </cell>
          <cell r="U30" t="str">
            <v>Borehole</v>
          </cell>
          <cell r="V30" t="str">
            <v>Along Asamang Road</v>
          </cell>
          <cell r="W30" t="str">
            <v>Ghana modified India Mark II</v>
          </cell>
          <cell r="X30">
            <v>1987</v>
          </cell>
          <cell r="AB30" t="str">
            <v>Borehole redevelopment</v>
          </cell>
          <cell r="BH30" t="str">
            <v>Goamu</v>
          </cell>
          <cell r="BI30" t="str">
            <v>Goamu Koforidua</v>
          </cell>
          <cell r="BL30">
            <v>2017</v>
          </cell>
          <cell r="BQ30" t="str">
            <v>functional</v>
          </cell>
        </row>
        <row r="31">
          <cell r="A31" t="str">
            <v>4q26-qrwc-uc6d</v>
          </cell>
          <cell r="P31" t="str">
            <v>6.975493819452181</v>
          </cell>
          <cell r="Q31" t="str">
            <v>-2.385504396722029</v>
          </cell>
          <cell r="U31" t="str">
            <v>Borehole</v>
          </cell>
          <cell r="V31" t="str">
            <v>At The Premises Of The Kenyasi Health Center</v>
          </cell>
          <cell r="W31" t="str">
            <v>AfriDev</v>
          </cell>
          <cell r="X31">
            <v>1991</v>
          </cell>
          <cell r="AB31" t="str">
            <v>Borehole redevelopment</v>
          </cell>
          <cell r="BH31" t="str">
            <v>Kenyasi No.1</v>
          </cell>
          <cell r="BI31" t="str">
            <v>Kenyasi Health Centre</v>
          </cell>
          <cell r="BL31">
            <v>2016</v>
          </cell>
          <cell r="BQ31" t="str">
            <v>functional</v>
          </cell>
        </row>
        <row r="32">
          <cell r="A32" t="str">
            <v>51nb-vf2x-1w1p</v>
          </cell>
          <cell r="P32" t="str">
            <v>7.053548261148956</v>
          </cell>
          <cell r="Q32" t="str">
            <v>-2.390551663359765</v>
          </cell>
          <cell r="U32" t="str">
            <v>Borehole</v>
          </cell>
          <cell r="V32" t="str">
            <v>Just By Kofi Ibrahimkrom Roadside</v>
          </cell>
          <cell r="W32" t="str">
            <v>AfriDev</v>
          </cell>
          <cell r="X32">
            <v>2006</v>
          </cell>
          <cell r="AB32" t="str">
            <v>Borehole redevelopment</v>
          </cell>
          <cell r="BH32" t="str">
            <v>Kenyasi No.2</v>
          </cell>
          <cell r="BI32" t="str">
            <v>Kofi Ibrahimkrom</v>
          </cell>
          <cell r="BL32">
            <v>2014</v>
          </cell>
          <cell r="BQ32" t="str">
            <v>functional</v>
          </cell>
        </row>
        <row r="33">
          <cell r="A33" t="str">
            <v>578g-hdeg-71ka</v>
          </cell>
          <cell r="P33" t="str">
            <v>6.991722321042752</v>
          </cell>
          <cell r="Q33" t="str">
            <v>-2.4039368114869126</v>
          </cell>
          <cell r="U33" t="str">
            <v>Borehole</v>
          </cell>
          <cell r="V33" t="str">
            <v>New Site Makert</v>
          </cell>
          <cell r="W33" t="str">
            <v>AfriDev</v>
          </cell>
          <cell r="X33">
            <v>2011</v>
          </cell>
          <cell r="AB33" t="str">
            <v>Borehole redevelopment</v>
          </cell>
          <cell r="BH33" t="str">
            <v>Kenyasi No.2</v>
          </cell>
          <cell r="BI33" t="str">
            <v>OLA Resettlement</v>
          </cell>
          <cell r="BL33">
            <v>2016</v>
          </cell>
          <cell r="BQ33" t="str">
            <v>not functional</v>
          </cell>
        </row>
        <row r="34">
          <cell r="A34" t="str">
            <v>5dk6-jsgp-2j3k</v>
          </cell>
          <cell r="P34" t="str">
            <v>7.0704570576820664</v>
          </cell>
          <cell r="Q34" t="str">
            <v>-2.4526145656022025</v>
          </cell>
          <cell r="U34" t="str">
            <v>Borehole</v>
          </cell>
          <cell r="V34" t="str">
            <v>Near Nana Adu's House</v>
          </cell>
          <cell r="W34" t="str">
            <v>Ghana modified India Mark II</v>
          </cell>
          <cell r="X34">
            <v>1987</v>
          </cell>
          <cell r="AB34" t="str">
            <v>Borehole redevelopment</v>
          </cell>
          <cell r="BH34" t="str">
            <v>Goamu</v>
          </cell>
          <cell r="BI34" t="str">
            <v>Kramokrom</v>
          </cell>
          <cell r="BL34">
            <v>2016</v>
          </cell>
          <cell r="BQ34" t="str">
            <v>partially functional</v>
          </cell>
        </row>
        <row r="35">
          <cell r="A35" t="str">
            <v>5fgj-97yq-et9q</v>
          </cell>
          <cell r="P35" t="str">
            <v>7.03306479</v>
          </cell>
          <cell r="Q35" t="str">
            <v>-2.70576934</v>
          </cell>
          <cell r="U35" t="str">
            <v>Borehole</v>
          </cell>
          <cell r="V35" t="str">
            <v>At the back of the Coaco shed</v>
          </cell>
          <cell r="W35" t="str">
            <v>AfriDev</v>
          </cell>
          <cell r="X35">
            <v>2017</v>
          </cell>
          <cell r="AB35" t="str">
            <v>Borehole redevelopment</v>
          </cell>
          <cell r="AJ35" t="str">
            <v>Unknown</v>
          </cell>
          <cell r="BH35" t="str">
            <v>GAMBIA</v>
          </cell>
          <cell r="BI35" t="str">
            <v>AGRAVI</v>
          </cell>
          <cell r="BL35">
            <v>2017</v>
          </cell>
          <cell r="BQ35" t="str">
            <v>partially functional</v>
          </cell>
        </row>
        <row r="36">
          <cell r="A36" t="str">
            <v>5j4b-cjc3-8sa7</v>
          </cell>
          <cell r="P36" t="str">
            <v>7.053409188270725</v>
          </cell>
          <cell r="Q36" t="str">
            <v>-2.3556037788123687</v>
          </cell>
          <cell r="U36" t="str">
            <v>Borehole</v>
          </cell>
          <cell r="V36" t="str">
            <v>Infront Of Iddruso Gariba's House</v>
          </cell>
          <cell r="W36" t="str">
            <v>AfriDev</v>
          </cell>
          <cell r="X36">
            <v>2008</v>
          </cell>
          <cell r="AB36" t="str">
            <v>Borehole redevelopment</v>
          </cell>
          <cell r="BH36" t="str">
            <v>Ntotroso</v>
          </cell>
          <cell r="BI36" t="str">
            <v>Amunkonakrom</v>
          </cell>
          <cell r="BL36">
            <v>2008</v>
          </cell>
          <cell r="BQ36" t="str">
            <v>functional</v>
          </cell>
        </row>
        <row r="37">
          <cell r="A37" t="str">
            <v>5v13-4vgt-hbwy</v>
          </cell>
          <cell r="P37" t="str">
            <v>7.085365372176343</v>
          </cell>
          <cell r="Q37" t="str">
            <v>-2.338014930962744</v>
          </cell>
          <cell r="U37" t="str">
            <v>Borehole</v>
          </cell>
          <cell r="V37" t="str">
            <v>At The Gyamfi Kumanin S H S Premises</v>
          </cell>
          <cell r="W37" t="str">
            <v>AfriDev</v>
          </cell>
          <cell r="X37">
            <v>2012</v>
          </cell>
          <cell r="AB37" t="str">
            <v>Borehole redevelopment</v>
          </cell>
          <cell r="BH37" t="str">
            <v>Ntotroso</v>
          </cell>
          <cell r="BI37" t="str">
            <v>Wamahinso SHS</v>
          </cell>
          <cell r="BL37">
            <v>2014</v>
          </cell>
          <cell r="BQ37" t="str">
            <v>not functional</v>
          </cell>
        </row>
        <row r="38">
          <cell r="A38" t="str">
            <v>6nay-yb17-81b0</v>
          </cell>
          <cell r="P38" t="str">
            <v>6.988191423200228</v>
          </cell>
          <cell r="Q38" t="str">
            <v>-2.405438928805724</v>
          </cell>
          <cell r="U38" t="str">
            <v>Borehole</v>
          </cell>
          <cell r="V38" t="str">
            <v>Nearer To Dj Bafra</v>
          </cell>
          <cell r="W38" t="str">
            <v>AfriDev</v>
          </cell>
          <cell r="X38">
            <v>2011</v>
          </cell>
          <cell r="AB38" t="str">
            <v>Borehole redevelopment</v>
          </cell>
          <cell r="BH38" t="str">
            <v>Kenyasi No.2</v>
          </cell>
          <cell r="BI38" t="str">
            <v>Adum Kenyasi</v>
          </cell>
          <cell r="BL38">
            <v>2016</v>
          </cell>
          <cell r="BQ38" t="str">
            <v>functional</v>
          </cell>
        </row>
        <row r="39">
          <cell r="A39" t="str">
            <v>6s20-tnm8-b0ww</v>
          </cell>
          <cell r="P39" t="str">
            <v>6.989795525430245</v>
          </cell>
          <cell r="Q39" t="str">
            <v>-2.408854450012102</v>
          </cell>
          <cell r="U39" t="str">
            <v>Borehole</v>
          </cell>
          <cell r="V39" t="str">
            <v>near Annang Thompson's house</v>
          </cell>
          <cell r="W39" t="str">
            <v>AfriDev</v>
          </cell>
          <cell r="X39">
            <v>2016</v>
          </cell>
          <cell r="AB39" t="str">
            <v>Borehole redevelopment</v>
          </cell>
          <cell r="BH39" t="str">
            <v>KENYASI NO.2</v>
          </cell>
          <cell r="BI39" t="str">
            <v>OLA RESETTLEMENT</v>
          </cell>
          <cell r="BL39">
            <v>2016</v>
          </cell>
          <cell r="BQ39" t="str">
            <v>functional</v>
          </cell>
        </row>
        <row r="40">
          <cell r="A40" t="str">
            <v>6wrk-b5ea-jhn9</v>
          </cell>
          <cell r="P40" t="str">
            <v>7.038491026959871</v>
          </cell>
          <cell r="Q40" t="str">
            <v>-2.6379839421177214</v>
          </cell>
          <cell r="U40" t="str">
            <v>Borehole</v>
          </cell>
          <cell r="V40" t="str">
            <v>Near Kyremantins House</v>
          </cell>
          <cell r="W40" t="str">
            <v>AfriDev</v>
          </cell>
          <cell r="X40">
            <v>2008</v>
          </cell>
          <cell r="AB40" t="str">
            <v>Borehole redevelopment</v>
          </cell>
          <cell r="AJ40" t="str">
            <v>facility under repair</v>
          </cell>
          <cell r="BH40" t="str">
            <v>Gambia</v>
          </cell>
          <cell r="BI40" t="str">
            <v>Gambia No.1</v>
          </cell>
          <cell r="BL40">
            <v>2013</v>
          </cell>
          <cell r="BQ40" t="str">
            <v>functional</v>
          </cell>
        </row>
        <row r="41">
          <cell r="A41" t="str">
            <v>6yvv-wrwu-j9ud</v>
          </cell>
          <cell r="P41" t="str">
            <v>7.076907395033276</v>
          </cell>
          <cell r="Q41" t="str">
            <v>-2.398855841471971</v>
          </cell>
          <cell r="U41" t="str">
            <v>Borehole</v>
          </cell>
          <cell r="V41" t="str">
            <v>Infront CMB Building</v>
          </cell>
          <cell r="W41" t="str">
            <v>AfriDev</v>
          </cell>
          <cell r="X41">
            <v>2002</v>
          </cell>
          <cell r="AB41" t="str">
            <v>Borehole redevelopment</v>
          </cell>
          <cell r="BH41" t="str">
            <v>Ntotroso</v>
          </cell>
          <cell r="BI41" t="str">
            <v>Kokofu</v>
          </cell>
          <cell r="BL41">
            <v>2013</v>
          </cell>
          <cell r="BQ41" t="str">
            <v>functional</v>
          </cell>
        </row>
        <row r="42">
          <cell r="A42" t="str">
            <v>7bsv-1aj8-75th</v>
          </cell>
          <cell r="P42" t="str">
            <v>7.0880840736118</v>
          </cell>
          <cell r="Q42" t="str">
            <v>-2.608158800324355</v>
          </cell>
          <cell r="U42" t="str">
            <v>Borehole</v>
          </cell>
          <cell r="V42" t="str">
            <v>In The Premises Of Esther Narh</v>
          </cell>
          <cell r="W42" t="str">
            <v>AfriDev</v>
          </cell>
          <cell r="X42">
            <v>2002</v>
          </cell>
          <cell r="AB42" t="str">
            <v>Borehole redevelopment</v>
          </cell>
          <cell r="BH42" t="str">
            <v>Gambia</v>
          </cell>
          <cell r="BI42" t="str">
            <v>Nsuta</v>
          </cell>
          <cell r="BL42">
            <v>2002</v>
          </cell>
          <cell r="BQ42" t="str">
            <v>functional</v>
          </cell>
        </row>
        <row r="43">
          <cell r="A43" t="str">
            <v>7fb0-s5ua-wcu6</v>
          </cell>
          <cell r="P43" t="str">
            <v>7.060865344238724</v>
          </cell>
          <cell r="Q43" t="str">
            <v>-2.393952192258899</v>
          </cell>
          <cell r="U43" t="str">
            <v>Borehole</v>
          </cell>
          <cell r="V43" t="str">
            <v>Few Meters Frm The Park</v>
          </cell>
          <cell r="W43" t="str">
            <v>AfriDev</v>
          </cell>
          <cell r="X43">
            <v>2006</v>
          </cell>
          <cell r="AB43" t="str">
            <v>Borehole redevelopment</v>
          </cell>
          <cell r="BH43" t="str">
            <v>Kenyasi No.2</v>
          </cell>
          <cell r="BI43" t="str">
            <v>Ahonuso</v>
          </cell>
          <cell r="BL43">
            <v>2014</v>
          </cell>
          <cell r="BQ43" t="str">
            <v>No repeat</v>
          </cell>
        </row>
        <row r="44">
          <cell r="A44" t="str">
            <v>7h8g-w1kv-4kbd</v>
          </cell>
          <cell r="P44" t="str">
            <v>7.01810694146569</v>
          </cell>
          <cell r="Q44" t="str">
            <v>-2.370664522418885</v>
          </cell>
          <cell r="U44" t="str">
            <v>Borehole</v>
          </cell>
          <cell r="V44" t="str">
            <v>near adowas plaintain farm (Ananekrom)</v>
          </cell>
          <cell r="W44" t="str">
            <v>AfriDev</v>
          </cell>
          <cell r="X44">
            <v>2015</v>
          </cell>
          <cell r="AB44" t="str">
            <v>Borehole redevelopment</v>
          </cell>
          <cell r="BH44" t="str">
            <v>KENYASI NO.2</v>
          </cell>
          <cell r="BI44" t="str">
            <v>KENYASI NO.2</v>
          </cell>
          <cell r="BL44">
            <v>2015</v>
          </cell>
          <cell r="BQ44" t="str">
            <v>functional</v>
          </cell>
        </row>
        <row r="45">
          <cell r="A45" t="str">
            <v>7hfv-a3bt-0ev8</v>
          </cell>
          <cell r="P45" t="str">
            <v>7.057107659925446</v>
          </cell>
          <cell r="Q45" t="str">
            <v>-2.400007678834221</v>
          </cell>
          <cell r="U45" t="str">
            <v>Borehole</v>
          </cell>
          <cell r="V45" t="str">
            <v>Agya Mensah Coaco Farm</v>
          </cell>
          <cell r="W45" t="str">
            <v>AfriDev</v>
          </cell>
          <cell r="X45">
            <v>2007</v>
          </cell>
          <cell r="AB45" t="str">
            <v>Borehole redevelopment</v>
          </cell>
          <cell r="BH45" t="str">
            <v>Kenyasi No.2</v>
          </cell>
          <cell r="BI45" t="str">
            <v>Akosua Addaikrom</v>
          </cell>
          <cell r="BL45">
            <v>2007</v>
          </cell>
          <cell r="BQ45" t="str">
            <v>functional</v>
          </cell>
        </row>
        <row r="46">
          <cell r="A46" t="str">
            <v>7mw2-cb2s-nb3u</v>
          </cell>
          <cell r="P46" t="str">
            <v>7.097588617907831</v>
          </cell>
          <cell r="Q46" t="str">
            <v>-2.3161243242668212</v>
          </cell>
          <cell r="U46" t="str">
            <v>Borehole</v>
          </cell>
          <cell r="V46" t="str">
            <v>Along Ensonyame Ye Road To Shell</v>
          </cell>
          <cell r="W46" t="str">
            <v>AfriDev</v>
          </cell>
          <cell r="X46">
            <v>2011</v>
          </cell>
          <cell r="AB46" t="str">
            <v>Borehole redevelopment</v>
          </cell>
          <cell r="BH46" t="str">
            <v>Ntotroso</v>
          </cell>
          <cell r="BI46" t="str">
            <v>Ensonyame Ye No.2</v>
          </cell>
          <cell r="BL46">
            <v>2011</v>
          </cell>
          <cell r="BQ46" t="str">
            <v>functional</v>
          </cell>
        </row>
        <row r="47">
          <cell r="A47" t="str">
            <v>7u71-tdss-btb8</v>
          </cell>
          <cell r="P47" t="str">
            <v>7.01432011338978</v>
          </cell>
          <cell r="Q47" t="str">
            <v>-2.485331735320916</v>
          </cell>
          <cell r="U47" t="str">
            <v>Hand dug well</v>
          </cell>
          <cell r="V47" t="str">
            <v>Near The Dunkwa Stream</v>
          </cell>
          <cell r="W47" t="str">
            <v>Nira AF-85</v>
          </cell>
          <cell r="X47">
            <v>1995</v>
          </cell>
          <cell r="AB47" t="str">
            <v>Borehole redevelopment</v>
          </cell>
          <cell r="BH47" t="str">
            <v>Goamu</v>
          </cell>
          <cell r="BI47" t="str">
            <v>Yaw Nsiahkrom</v>
          </cell>
          <cell r="BL47">
            <v>2014</v>
          </cell>
          <cell r="BQ47" t="str">
            <v>functional</v>
          </cell>
        </row>
        <row r="48">
          <cell r="A48" t="str">
            <v>7wh1-hf1v-4dn4</v>
          </cell>
          <cell r="P48" t="str">
            <v>7.058892295767326</v>
          </cell>
          <cell r="Q48" t="str">
            <v>-2.6547547295673497</v>
          </cell>
          <cell r="U48" t="str">
            <v>Borehole</v>
          </cell>
          <cell r="V48" t="str">
            <v>R.c Church Premises</v>
          </cell>
          <cell r="W48" t="str">
            <v>AfriDev</v>
          </cell>
          <cell r="X48">
            <v>2010</v>
          </cell>
          <cell r="AB48" t="str">
            <v>Borehole redevelopment</v>
          </cell>
          <cell r="BH48" t="str">
            <v>Gambia</v>
          </cell>
          <cell r="BI48" t="str">
            <v>Besease</v>
          </cell>
          <cell r="BL48">
            <v>2010</v>
          </cell>
          <cell r="BQ48" t="str">
            <v>functional</v>
          </cell>
        </row>
        <row r="49">
          <cell r="A49" t="str">
            <v>8124-fv0s-1ru7</v>
          </cell>
          <cell r="P49" t="str">
            <v>6.959168210716699</v>
          </cell>
          <cell r="Q49" t="str">
            <v>-2.4357606898816013</v>
          </cell>
          <cell r="U49" t="str">
            <v>Hand dug well</v>
          </cell>
          <cell r="V49" t="str">
            <v>Adjacent Haloo's House</v>
          </cell>
          <cell r="W49" t="str">
            <v>Nira AF-85</v>
          </cell>
          <cell r="X49">
            <v>2012</v>
          </cell>
          <cell r="AB49" t="str">
            <v>Borehole redevelopment</v>
          </cell>
          <cell r="BH49" t="str">
            <v>Kenyasi No.1</v>
          </cell>
          <cell r="BI49" t="str">
            <v>Adukrom</v>
          </cell>
          <cell r="BL49">
            <v>2012</v>
          </cell>
          <cell r="BQ49" t="str">
            <v>not functional</v>
          </cell>
        </row>
        <row r="50">
          <cell r="A50" t="str">
            <v>8p9e-gus1-nr2</v>
          </cell>
          <cell r="P50" t="str">
            <v>7.082903938567181</v>
          </cell>
          <cell r="Q50" t="str">
            <v>-2.425905259662292</v>
          </cell>
          <cell r="U50" t="str">
            <v>Borehole</v>
          </cell>
          <cell r="V50" t="str">
            <v>Agya Laare's Village</v>
          </cell>
          <cell r="W50" t="str">
            <v>Solar Pump</v>
          </cell>
          <cell r="X50">
            <v>2013</v>
          </cell>
          <cell r="AB50" t="str">
            <v>Borehole redevelopment</v>
          </cell>
          <cell r="BH50" t="str">
            <v>Goamu</v>
          </cell>
          <cell r="BI50" t="str">
            <v>Forest Ano</v>
          </cell>
          <cell r="BL50">
            <v>2017</v>
          </cell>
          <cell r="BQ50" t="str">
            <v>functional</v>
          </cell>
        </row>
        <row r="51">
          <cell r="A51" t="str">
            <v>8qxm-4hts-xums</v>
          </cell>
          <cell r="P51" t="str">
            <v>7.09524032</v>
          </cell>
          <cell r="Q51" t="str">
            <v>-2.71279081</v>
          </cell>
          <cell r="U51" t="str">
            <v>Borehole</v>
          </cell>
          <cell r="V51" t="str">
            <v>In front of Church of Pentecost</v>
          </cell>
          <cell r="W51" t="str">
            <v>AfriDev</v>
          </cell>
          <cell r="X51">
            <v>2017</v>
          </cell>
          <cell r="AB51" t="str">
            <v>Borehole redevelopment</v>
          </cell>
          <cell r="BH51" t="str">
            <v>GAMBIA</v>
          </cell>
          <cell r="BI51" t="str">
            <v>BIASO</v>
          </cell>
          <cell r="BL51">
            <v>2017</v>
          </cell>
          <cell r="BQ51" t="str">
            <v>functional</v>
          </cell>
        </row>
        <row r="52">
          <cell r="A52" t="str">
            <v>8tqn-su18-m3by</v>
          </cell>
          <cell r="P52" t="str">
            <v>7.031191456106925</v>
          </cell>
          <cell r="Q52" t="str">
            <v>-2.5173002808612894</v>
          </cell>
          <cell r="U52" t="str">
            <v>Hand dug well</v>
          </cell>
          <cell r="V52" t="str">
            <v>Near Abu Chaerls House</v>
          </cell>
          <cell r="W52" t="str">
            <v>Nira AF-85</v>
          </cell>
          <cell r="X52">
            <v>2002</v>
          </cell>
          <cell r="AB52" t="str">
            <v>Borehole redevelopment</v>
          </cell>
          <cell r="BH52" t="str">
            <v>Goamu</v>
          </cell>
          <cell r="BI52" t="str">
            <v>Abena Arkokrom</v>
          </cell>
          <cell r="BL52">
            <v>2014</v>
          </cell>
          <cell r="BQ52" t="str">
            <v>partially functional</v>
          </cell>
        </row>
        <row r="53">
          <cell r="A53" t="str">
            <v>8udx-wjn4-2r9t</v>
          </cell>
          <cell r="P53" t="str">
            <v>7.000968213792633</v>
          </cell>
          <cell r="Q53" t="str">
            <v>-2.501461152936124</v>
          </cell>
          <cell r="U53" t="str">
            <v>Borehole</v>
          </cell>
          <cell r="V53" t="str">
            <v>TENESO ANOKYEKROM</v>
          </cell>
          <cell r="W53" t="str">
            <v>AfriDev</v>
          </cell>
          <cell r="X53">
            <v>2016</v>
          </cell>
          <cell r="AB53" t="str">
            <v>Borehole redevelopment</v>
          </cell>
          <cell r="BH53" t="str">
            <v>GOAMU</v>
          </cell>
          <cell r="BI53" t="str">
            <v>KOJOKROM</v>
          </cell>
          <cell r="BL53">
            <v>2016</v>
          </cell>
          <cell r="BQ53" t="str">
            <v>functional</v>
          </cell>
        </row>
        <row r="54">
          <cell r="A54" t="str">
            <v>90ar-sxvf-89f7</v>
          </cell>
          <cell r="P54" t="str">
            <v>7.030336839147207</v>
          </cell>
          <cell r="Q54" t="str">
            <v>-2.4760195139825587</v>
          </cell>
          <cell r="U54" t="str">
            <v>Borehole</v>
          </cell>
          <cell r="V54" t="str">
            <v>Adjacent The Methodist Church</v>
          </cell>
          <cell r="W54" t="str">
            <v>AfriDev</v>
          </cell>
          <cell r="X54">
            <v>1990</v>
          </cell>
          <cell r="AB54" t="str">
            <v>Borehole redevelopment</v>
          </cell>
          <cell r="BH54" t="str">
            <v>Goamu</v>
          </cell>
          <cell r="BI54" t="str">
            <v>Atwedie Kenyasi No.3</v>
          </cell>
          <cell r="BL54">
            <v>2014</v>
          </cell>
          <cell r="BQ54" t="str">
            <v>not functional</v>
          </cell>
        </row>
        <row r="55">
          <cell r="A55" t="str">
            <v>91xf-nrc9-kvg5</v>
          </cell>
          <cell r="P55" t="str">
            <v>6.988789843700871</v>
          </cell>
          <cell r="Q55" t="str">
            <v>-2.4452435655456726</v>
          </cell>
          <cell r="U55" t="str">
            <v>Borehole</v>
          </cell>
          <cell r="V55" t="str">
            <v>Opposit Amariya's House</v>
          </cell>
          <cell r="W55" t="str">
            <v>Solar Pump</v>
          </cell>
          <cell r="X55">
            <v>2013</v>
          </cell>
          <cell r="AB55" t="str">
            <v>Borehole redevelopment</v>
          </cell>
          <cell r="BH55" t="str">
            <v>Kenyasi No.1</v>
          </cell>
          <cell r="BI55" t="str">
            <v>Esinanim Town</v>
          </cell>
          <cell r="BL55">
            <v>2013</v>
          </cell>
          <cell r="BQ55" t="str">
            <v>functional</v>
          </cell>
        </row>
        <row r="56">
          <cell r="A56" t="str">
            <v>9504-gfw4-68cg</v>
          </cell>
          <cell r="P56" t="str">
            <v>7.063599080917395</v>
          </cell>
          <cell r="Q56" t="str">
            <v>-2.3155138257482157</v>
          </cell>
          <cell r="U56" t="str">
            <v>Hand dug well</v>
          </cell>
          <cell r="V56" t="str">
            <v>New Apostolic Church Premises</v>
          </cell>
          <cell r="W56" t="str">
            <v>Nira AF-85</v>
          </cell>
          <cell r="X56">
            <v>2007</v>
          </cell>
          <cell r="AB56" t="str">
            <v>Borehole redevelopment</v>
          </cell>
          <cell r="BH56" t="str">
            <v>Ntotroso</v>
          </cell>
          <cell r="BI56" t="str">
            <v>Ntotroso</v>
          </cell>
          <cell r="BL56">
            <v>2007</v>
          </cell>
          <cell r="BQ56" t="str">
            <v>not functional</v>
          </cell>
        </row>
        <row r="57">
          <cell r="A57" t="str">
            <v>96hd-p7bf-xyjk</v>
          </cell>
          <cell r="P57" t="str">
            <v>6.969751666666667</v>
          </cell>
          <cell r="Q57" t="str">
            <v>-2.37343</v>
          </cell>
          <cell r="U57" t="str">
            <v>Borehole</v>
          </cell>
          <cell r="V57" t="str">
            <v>new resettlement</v>
          </cell>
          <cell r="W57" t="str">
            <v>AfriDev</v>
          </cell>
          <cell r="X57">
            <v>2017</v>
          </cell>
          <cell r="AB57" t="str">
            <v>Borehole redevelopment</v>
          </cell>
          <cell r="BH57" t="str">
            <v>KENYASI NO.1</v>
          </cell>
          <cell r="BI57" t="str">
            <v>KENYASI NO.1</v>
          </cell>
          <cell r="BL57">
            <v>2017</v>
          </cell>
          <cell r="BQ57" t="str">
            <v>functional</v>
          </cell>
        </row>
        <row r="58">
          <cell r="A58" t="str">
            <v>9bdt-5vs7-r0m9</v>
          </cell>
          <cell r="P58" t="str">
            <v>7.067274954809998</v>
          </cell>
          <cell r="Q58" t="str">
            <v>-2.319932969902633</v>
          </cell>
          <cell r="U58" t="str">
            <v>Borehole</v>
          </cell>
          <cell r="V58" t="str">
            <v>Akentem</v>
          </cell>
          <cell r="W58" t="str">
            <v>AfriDev</v>
          </cell>
          <cell r="X58">
            <v>2008</v>
          </cell>
          <cell r="AB58" t="str">
            <v>Borehole redevelopment</v>
          </cell>
          <cell r="BH58" t="str">
            <v>Ntotroso</v>
          </cell>
          <cell r="BI58" t="str">
            <v>Ntotroso</v>
          </cell>
          <cell r="BL58">
            <v>2008</v>
          </cell>
          <cell r="BQ58" t="str">
            <v>not functional</v>
          </cell>
        </row>
        <row r="59">
          <cell r="A59" t="str">
            <v>9qd8-00ry-dm09</v>
          </cell>
          <cell r="P59" t="str">
            <v>7.027268676702586</v>
          </cell>
          <cell r="Q59" t="str">
            <v>-2.690678807090575</v>
          </cell>
          <cell r="U59" t="str">
            <v>Borehole</v>
          </cell>
          <cell r="V59" t="str">
            <v>Ofa K's Palm Groof Farm</v>
          </cell>
          <cell r="W59" t="str">
            <v>AfriDev</v>
          </cell>
          <cell r="X59">
            <v>2012</v>
          </cell>
          <cell r="AB59" t="str">
            <v>Borehole redevelopment</v>
          </cell>
          <cell r="BH59" t="str">
            <v>Gambia</v>
          </cell>
          <cell r="BI59" t="str">
            <v>Asirifikrom</v>
          </cell>
          <cell r="BL59">
            <v>2012</v>
          </cell>
          <cell r="BQ59" t="str">
            <v>functional</v>
          </cell>
        </row>
        <row r="60">
          <cell r="A60" t="str">
            <v>a2kk-139s-1p7u</v>
          </cell>
          <cell r="P60" t="str">
            <v>7.0578595121653045</v>
          </cell>
          <cell r="Q60" t="str">
            <v>-2.6514131077810172</v>
          </cell>
          <cell r="U60" t="str">
            <v>Borehole</v>
          </cell>
          <cell r="V60" t="str">
            <v>Opposite Alhasan Sulleman House</v>
          </cell>
          <cell r="W60" t="str">
            <v>AfriDev</v>
          </cell>
          <cell r="X60">
            <v>2011</v>
          </cell>
          <cell r="AB60" t="str">
            <v>Borehole redevelopment</v>
          </cell>
          <cell r="BH60" t="str">
            <v>Gambia</v>
          </cell>
          <cell r="BI60" t="str">
            <v>Nzongohene Akuraa</v>
          </cell>
          <cell r="BL60">
            <v>2011</v>
          </cell>
          <cell r="BQ60" t="str">
            <v>functional</v>
          </cell>
        </row>
        <row r="61">
          <cell r="A61" t="str">
            <v>a75v-48p3-sn1n</v>
          </cell>
          <cell r="P61" t="str">
            <v>6.925197055429619</v>
          </cell>
          <cell r="Q61" t="str">
            <v>-2.4326070753669473</v>
          </cell>
          <cell r="U61" t="str">
            <v>Borehole</v>
          </cell>
          <cell r="V61" t="str">
            <v>Back Of Anuti Serwa's House</v>
          </cell>
          <cell r="W61" t="str">
            <v>AfriDev</v>
          </cell>
          <cell r="X61">
            <v>2008</v>
          </cell>
          <cell r="AB61" t="str">
            <v>Borehole redevelopment</v>
          </cell>
          <cell r="BH61" t="str">
            <v>Kenyasi No.1</v>
          </cell>
          <cell r="BI61" t="str">
            <v>Donkorkrom</v>
          </cell>
          <cell r="BL61">
            <v>2016</v>
          </cell>
          <cell r="BQ61" t="str">
            <v>functional</v>
          </cell>
        </row>
        <row r="62">
          <cell r="A62" t="str">
            <v>a770-e1d1-2e20</v>
          </cell>
          <cell r="P62" t="str">
            <v>6.991773081931174</v>
          </cell>
          <cell r="Q62" t="str">
            <v>-2.4007082522313503</v>
          </cell>
          <cell r="U62" t="str">
            <v>Borehole</v>
          </cell>
          <cell r="V62" t="str">
            <v>C.P.C Church Premises</v>
          </cell>
          <cell r="W62" t="str">
            <v>AfriDev</v>
          </cell>
          <cell r="X62">
            <v>2012</v>
          </cell>
          <cell r="AB62" t="str">
            <v>Borehole redevelopment</v>
          </cell>
          <cell r="BH62" t="str">
            <v>Kenyasi No.2</v>
          </cell>
          <cell r="BI62" t="str">
            <v>OLA Resettlement</v>
          </cell>
          <cell r="BL62">
            <v>2016</v>
          </cell>
          <cell r="BQ62" t="str">
            <v>partially functional</v>
          </cell>
        </row>
        <row r="63">
          <cell r="A63" t="str">
            <v>af7e-w01r-0p6p</v>
          </cell>
          <cell r="P63" t="str">
            <v>7.060799005601928</v>
          </cell>
          <cell r="Q63" t="str">
            <v>-2.4036810173675347</v>
          </cell>
          <cell r="U63" t="str">
            <v>Borehole</v>
          </cell>
          <cell r="V63" t="str">
            <v>Infront Of Opanin Agyemang's House</v>
          </cell>
          <cell r="W63" t="str">
            <v>AfriDev</v>
          </cell>
          <cell r="X63">
            <v>2006</v>
          </cell>
          <cell r="AB63" t="str">
            <v>Borehole redevelopment</v>
          </cell>
          <cell r="BH63" t="str">
            <v>Kenyasi No.2</v>
          </cell>
          <cell r="BI63" t="str">
            <v>Agyemangkrom</v>
          </cell>
          <cell r="BL63">
            <v>2016</v>
          </cell>
          <cell r="BQ63" t="str">
            <v>partially functional</v>
          </cell>
        </row>
        <row r="64">
          <cell r="A64" t="str">
            <v>aqfu-4k8k-s08c</v>
          </cell>
          <cell r="P64" t="str">
            <v>7.031574463902342</v>
          </cell>
          <cell r="Q64" t="str">
            <v>-2.748036230292769</v>
          </cell>
          <cell r="U64" t="str">
            <v>Borehole</v>
          </cell>
          <cell r="V64" t="str">
            <v>Near Akwatuo Junction</v>
          </cell>
          <cell r="W64" t="str">
            <v>AfriDev</v>
          </cell>
          <cell r="X64">
            <v>2002</v>
          </cell>
          <cell r="AB64" t="str">
            <v>Borehole redevelopment</v>
          </cell>
          <cell r="BH64" t="str">
            <v>Gambia</v>
          </cell>
          <cell r="BI64" t="str">
            <v>Kojo Nkrumah</v>
          </cell>
          <cell r="BL64">
            <v>2014</v>
          </cell>
          <cell r="BQ64" t="str">
            <v>functional</v>
          </cell>
        </row>
        <row r="65">
          <cell r="A65" t="str">
            <v>b0hh-7j51-9nfn</v>
          </cell>
          <cell r="P65" t="str">
            <v>7.09059</v>
          </cell>
          <cell r="Q65" t="str">
            <v>-2.3430316666666666</v>
          </cell>
          <cell r="U65" t="str">
            <v>Borehole</v>
          </cell>
          <cell r="V65" t="str">
            <v>Behand Community Center</v>
          </cell>
          <cell r="W65" t="str">
            <v>AfriDev</v>
          </cell>
          <cell r="X65">
            <v>2010</v>
          </cell>
          <cell r="AB65" t="str">
            <v>Borehole redevelopment</v>
          </cell>
          <cell r="BH65" t="str">
            <v>NTOTROSO</v>
          </cell>
          <cell r="BI65" t="str">
            <v>WAMAHINSO</v>
          </cell>
          <cell r="BL65">
            <v>2010</v>
          </cell>
          <cell r="BQ65" t="str">
            <v>functional</v>
          </cell>
        </row>
        <row r="66">
          <cell r="A66" t="str">
            <v>b27m-hd42-huam</v>
          </cell>
          <cell r="P66" t="str">
            <v>7.056713039172011</v>
          </cell>
          <cell r="Q66" t="str">
            <v>-2.379672242379253</v>
          </cell>
          <cell r="U66" t="str">
            <v>Borehole</v>
          </cell>
          <cell r="V66" t="str">
            <v>Behind Bukari Abanga's House</v>
          </cell>
          <cell r="W66" t="str">
            <v>AfriDev</v>
          </cell>
          <cell r="X66">
            <v>2005</v>
          </cell>
          <cell r="AB66" t="str">
            <v>Borehole redevelopment</v>
          </cell>
          <cell r="BH66" t="str">
            <v>Ntotroso</v>
          </cell>
          <cell r="BI66" t="str">
            <v>Kwame Aduanakrom</v>
          </cell>
          <cell r="BL66">
            <v>2005</v>
          </cell>
          <cell r="BQ66" t="str">
            <v>not functional</v>
          </cell>
        </row>
        <row r="67">
          <cell r="A67" t="str">
            <v>b6rc-4w72-nmm9</v>
          </cell>
          <cell r="P67" t="str">
            <v>6.995761096776929</v>
          </cell>
          <cell r="Q67" t="str">
            <v>-2.533867923065548</v>
          </cell>
          <cell r="U67" t="str">
            <v>Borehole</v>
          </cell>
          <cell r="V67" t="str">
            <v>Nsu Kokoo Mu Just By The Roadside</v>
          </cell>
          <cell r="W67" t="str">
            <v>AfriDev</v>
          </cell>
          <cell r="X67">
            <v>1987</v>
          </cell>
          <cell r="AB67" t="str">
            <v>Borehole redevelopment</v>
          </cell>
          <cell r="BH67" t="str">
            <v>Goamu</v>
          </cell>
          <cell r="BI67" t="str">
            <v>Kensere</v>
          </cell>
          <cell r="BL67">
            <v>2017</v>
          </cell>
          <cell r="BQ67" t="str">
            <v>functional</v>
          </cell>
        </row>
        <row r="68">
          <cell r="A68" t="str">
            <v>bbtm-kja1-n7jh</v>
          </cell>
          <cell r="P68" t="str">
            <v>7.02725215646418</v>
          </cell>
          <cell r="Q68" t="str">
            <v>-2.5416547524955138</v>
          </cell>
          <cell r="U68" t="str">
            <v>Borehole</v>
          </cell>
          <cell r="V68" t="str">
            <v>Near Yaw Donkor's House</v>
          </cell>
          <cell r="W68" t="str">
            <v>AfriDev</v>
          </cell>
          <cell r="X68">
            <v>2011</v>
          </cell>
          <cell r="AB68" t="str">
            <v>Borehole redevelopment</v>
          </cell>
          <cell r="BH68" t="str">
            <v>Goamu</v>
          </cell>
          <cell r="BI68" t="str">
            <v>Torkrom No.1</v>
          </cell>
          <cell r="BL68">
            <v>2016</v>
          </cell>
          <cell r="BQ68" t="str">
            <v>functional</v>
          </cell>
        </row>
        <row r="69">
          <cell r="A69" t="str">
            <v>bd9u-57fr-u2ng</v>
          </cell>
          <cell r="P69" t="str">
            <v>7.090738038674637</v>
          </cell>
          <cell r="Q69" t="str">
            <v>-2.4248936743641774</v>
          </cell>
          <cell r="U69" t="str">
            <v>Borehole</v>
          </cell>
          <cell r="V69" t="str">
            <v>Nweneso community  Forest Ano 2</v>
          </cell>
          <cell r="W69" t="str">
            <v>AfriDev</v>
          </cell>
          <cell r="X69">
            <v>2017</v>
          </cell>
          <cell r="AB69" t="str">
            <v>Borehole redevelopment</v>
          </cell>
          <cell r="BH69" t="str">
            <v>GOAMU</v>
          </cell>
          <cell r="BI69" t="str">
            <v>FOREST ANO</v>
          </cell>
          <cell r="BL69">
            <v>2017</v>
          </cell>
          <cell r="BQ69" t="str">
            <v>functional</v>
          </cell>
        </row>
        <row r="70">
          <cell r="A70" t="str">
            <v>bgst-3y8w-rk0m</v>
          </cell>
          <cell r="P70" t="str">
            <v>7.087905863465312</v>
          </cell>
          <cell r="Q70" t="str">
            <v>-2.6840779798810455</v>
          </cell>
          <cell r="U70" t="str">
            <v>Borehole</v>
          </cell>
          <cell r="V70" t="str">
            <v>Near Kwabena Insia's House</v>
          </cell>
          <cell r="W70" t="str">
            <v>AfriDev</v>
          </cell>
          <cell r="X70">
            <v>2012</v>
          </cell>
          <cell r="AB70" t="str">
            <v>Borehole redevelopment</v>
          </cell>
          <cell r="BH70" t="str">
            <v>Gambia</v>
          </cell>
          <cell r="BI70" t="str">
            <v>Kwadwo Addaikrom</v>
          </cell>
          <cell r="BL70">
            <v>2012</v>
          </cell>
          <cell r="BQ70" t="str">
            <v>functional</v>
          </cell>
        </row>
        <row r="71">
          <cell r="A71" t="str">
            <v>bhbk-berw-ywsu</v>
          </cell>
          <cell r="P71" t="str">
            <v>7.08739044</v>
          </cell>
          <cell r="Q71" t="str">
            <v>-2.68537766</v>
          </cell>
          <cell r="U71" t="str">
            <v>Borehole</v>
          </cell>
          <cell r="V71" t="str">
            <v>Behind the house of Agya Issaka Kombent</v>
          </cell>
          <cell r="W71" t="str">
            <v>AfriDev</v>
          </cell>
          <cell r="X71">
            <v>2017</v>
          </cell>
          <cell r="AB71" t="str">
            <v>Borehole redevelopment</v>
          </cell>
          <cell r="BH71" t="str">
            <v>GAMBIA</v>
          </cell>
          <cell r="BI71" t="str">
            <v>KWADWO ADDAIKROM</v>
          </cell>
          <cell r="BL71">
            <v>2017</v>
          </cell>
          <cell r="BQ71" t="str">
            <v>functional</v>
          </cell>
        </row>
        <row r="72">
          <cell r="A72" t="str">
            <v>c20u-2tkr-3576</v>
          </cell>
          <cell r="P72" t="str">
            <v>7.023211932190982</v>
          </cell>
          <cell r="Q72" t="str">
            <v>-2.480041928777633</v>
          </cell>
          <cell r="U72" t="str">
            <v>Borehole</v>
          </cell>
          <cell r="V72" t="str">
            <v>KRAMO SEIDU AKURAA ALONG KOJOKROM ROAD</v>
          </cell>
          <cell r="W72" t="str">
            <v>Nira AF-85</v>
          </cell>
          <cell r="X72">
            <v>2014</v>
          </cell>
          <cell r="AB72" t="str">
            <v>Borehole redevelopment</v>
          </cell>
          <cell r="BH72" t="str">
            <v>KENYASI NO.2</v>
          </cell>
          <cell r="BI72" t="str">
            <v>ATWEDIE KENYASI NO.3</v>
          </cell>
          <cell r="BL72">
            <v>2014</v>
          </cell>
          <cell r="BQ72" t="str">
            <v>functional</v>
          </cell>
        </row>
        <row r="73">
          <cell r="A73" t="str">
            <v>c229-ye89-4wkk</v>
          </cell>
          <cell r="P73" t="str">
            <v>6.992448669737647</v>
          </cell>
          <cell r="Q73" t="str">
            <v>-2.5342296397457247</v>
          </cell>
          <cell r="U73" t="str">
            <v>Borehole</v>
          </cell>
          <cell r="V73" t="str">
            <v>Gyidim Near High Tension</v>
          </cell>
          <cell r="W73" t="str">
            <v>AfriDev</v>
          </cell>
          <cell r="X73">
            <v>1987</v>
          </cell>
          <cell r="AB73" t="str">
            <v>Borehole redevelopment</v>
          </cell>
          <cell r="AJ73" t="str">
            <v>Handpump broken</v>
          </cell>
          <cell r="BH73" t="str">
            <v>Goamu</v>
          </cell>
          <cell r="BI73" t="str">
            <v>Kensere</v>
          </cell>
          <cell r="BL73">
            <v>1987</v>
          </cell>
          <cell r="BQ73" t="str">
            <v>functional</v>
          </cell>
        </row>
        <row r="74">
          <cell r="A74" t="str">
            <v>c31u-9e24-b9vt</v>
          </cell>
          <cell r="P74" t="str">
            <v>7.016220071208277</v>
          </cell>
          <cell r="Q74" t="str">
            <v>-2.4531651540910935</v>
          </cell>
          <cell r="U74" t="str">
            <v>Borehole</v>
          </cell>
          <cell r="V74" t="str">
            <v>Akosa Nkwanta</v>
          </cell>
          <cell r="W74" t="str">
            <v>Vergnet</v>
          </cell>
          <cell r="X74">
            <v>2012</v>
          </cell>
          <cell r="AB74" t="str">
            <v>Borehole redevelopment</v>
          </cell>
          <cell r="BH74" t="str">
            <v>GOAMU</v>
          </cell>
          <cell r="BI74" t="str">
            <v>AKOSAKROM</v>
          </cell>
          <cell r="BL74">
            <v>2012</v>
          </cell>
          <cell r="BQ74" t="str">
            <v>functional</v>
          </cell>
        </row>
        <row r="75">
          <cell r="A75" t="str">
            <v>cy2q-5k7f-qpr5</v>
          </cell>
          <cell r="P75" t="str">
            <v>7.067801291594365</v>
          </cell>
          <cell r="Q75" t="str">
            <v>-2.3776678743077913</v>
          </cell>
          <cell r="U75" t="str">
            <v>Borehole</v>
          </cell>
          <cell r="V75" t="str">
            <v>Few Meters From The Park</v>
          </cell>
          <cell r="W75" t="str">
            <v>AfriDev</v>
          </cell>
          <cell r="X75">
            <v>1998</v>
          </cell>
          <cell r="AB75" t="str">
            <v>Borehole redevelopment</v>
          </cell>
          <cell r="AJ75" t="str">
            <v>Handpump broken</v>
          </cell>
          <cell r="BH75" t="str">
            <v>Ntotroso</v>
          </cell>
          <cell r="BI75" t="str">
            <v>Yawusukrom</v>
          </cell>
          <cell r="BL75">
            <v>2013</v>
          </cell>
          <cell r="BQ75" t="str">
            <v>not functional</v>
          </cell>
        </row>
        <row r="76">
          <cell r="A76" t="str">
            <v>d1px-n4qy-qqrs</v>
          </cell>
          <cell r="P76" t="str">
            <v>6.963381374940193</v>
          </cell>
          <cell r="Q76" t="str">
            <v>-2.452140408507097</v>
          </cell>
          <cell r="U76" t="str">
            <v>Borehole</v>
          </cell>
          <cell r="V76" t="str">
            <v>At The Roman School Premises</v>
          </cell>
          <cell r="W76" t="str">
            <v>AfriDev</v>
          </cell>
          <cell r="X76">
            <v>1987</v>
          </cell>
          <cell r="AB76" t="str">
            <v>Borehole redevelopment</v>
          </cell>
          <cell r="BH76" t="str">
            <v>Kenyasi No.1</v>
          </cell>
          <cell r="BI76" t="str">
            <v>Nfahunfaka</v>
          </cell>
          <cell r="BL76">
            <v>2014</v>
          </cell>
          <cell r="BQ76" t="str">
            <v>not functional</v>
          </cell>
        </row>
        <row r="77">
          <cell r="A77" t="str">
            <v>dfwy-vc9h-buak</v>
          </cell>
          <cell r="P77" t="str">
            <v>7.0863004201965705</v>
          </cell>
          <cell r="Q77" t="str">
            <v>-2.6857645018174625</v>
          </cell>
          <cell r="U77" t="str">
            <v>Borehole</v>
          </cell>
          <cell r="V77" t="str">
            <v>Near Master Ansu's House</v>
          </cell>
          <cell r="W77" t="str">
            <v>AfriDev</v>
          </cell>
          <cell r="X77">
            <v>1992</v>
          </cell>
          <cell r="AB77" t="str">
            <v>Borehole redevelopment</v>
          </cell>
          <cell r="BH77" t="str">
            <v>Gambia</v>
          </cell>
          <cell r="BI77" t="str">
            <v>Kwadwo Addaikrom</v>
          </cell>
          <cell r="BL77">
            <v>2014</v>
          </cell>
          <cell r="BQ77" t="str">
            <v>functional</v>
          </cell>
        </row>
        <row r="78">
          <cell r="A78" t="str">
            <v>dh06-yhbt-qtdk</v>
          </cell>
          <cell r="P78" t="str">
            <v>7.149537969564443</v>
          </cell>
          <cell r="Q78" t="str">
            <v>-2.341010818667734</v>
          </cell>
          <cell r="U78" t="str">
            <v>Hand dug well</v>
          </cell>
          <cell r="V78" t="str">
            <v>Last Stop</v>
          </cell>
          <cell r="W78" t="str">
            <v>Nira AF-85</v>
          </cell>
          <cell r="X78">
            <v>1987</v>
          </cell>
          <cell r="AB78" t="str">
            <v>Borehole redevelopment</v>
          </cell>
          <cell r="AJ78" t="str">
            <v>Handpump broken</v>
          </cell>
          <cell r="BH78" t="str">
            <v>Ntotroso</v>
          </cell>
          <cell r="BI78" t="str">
            <v>Amamaso Centre</v>
          </cell>
          <cell r="BL78">
            <v>1987</v>
          </cell>
          <cell r="BQ78" t="str">
            <v>not functional</v>
          </cell>
        </row>
        <row r="79">
          <cell r="A79" t="str">
            <v>dwq9-9wp2-6ek0</v>
          </cell>
          <cell r="P79" t="str">
            <v>7.105829997121836</v>
          </cell>
          <cell r="Q79" t="str">
            <v>-2.619614732651227</v>
          </cell>
          <cell r="U79" t="str">
            <v>Borehole</v>
          </cell>
          <cell r="V79" t="str">
            <v>Progamm's Coaco Farm</v>
          </cell>
          <cell r="W79" t="str">
            <v>AfriDev</v>
          </cell>
          <cell r="X79">
            <v>2002</v>
          </cell>
          <cell r="AB79" t="str">
            <v>Borehole redevelopment</v>
          </cell>
          <cell r="BH79" t="str">
            <v>Gambia</v>
          </cell>
          <cell r="BI79" t="str">
            <v>Kwame Mensahkrom</v>
          </cell>
          <cell r="BL79">
            <v>2013</v>
          </cell>
          <cell r="BQ79" t="str">
            <v>functional</v>
          </cell>
        </row>
        <row r="80">
          <cell r="A80" t="str">
            <v>e5yu-4ngr-26ss</v>
          </cell>
          <cell r="P80" t="str">
            <v>7.05506099</v>
          </cell>
          <cell r="Q80" t="str">
            <v>-2.6533708</v>
          </cell>
          <cell r="U80" t="str">
            <v>Borehole</v>
          </cell>
          <cell r="V80" t="str">
            <v>on the site of Akwasi Boakye</v>
          </cell>
          <cell r="W80" t="str">
            <v>AfriDev</v>
          </cell>
          <cell r="X80">
            <v>2017</v>
          </cell>
          <cell r="AB80" t="str">
            <v>Borehole redevelopment</v>
          </cell>
          <cell r="BH80" t="str">
            <v>GAMBIA</v>
          </cell>
          <cell r="BI80" t="str">
            <v>GAMBIA NO.2</v>
          </cell>
          <cell r="BL80">
            <v>2017</v>
          </cell>
          <cell r="BQ80" t="str">
            <v>functional</v>
          </cell>
        </row>
        <row r="81">
          <cell r="A81" t="str">
            <v>ec48-49bw-pxhs</v>
          </cell>
          <cell r="P81" t="str">
            <v>7.063573214233176</v>
          </cell>
          <cell r="Q81" t="str">
            <v>-2.6556292028412867</v>
          </cell>
          <cell r="U81" t="str">
            <v>Borehole</v>
          </cell>
          <cell r="V81" t="str">
            <v>Behind Alhaji Issa's House</v>
          </cell>
          <cell r="W81" t="str">
            <v>AfriDev</v>
          </cell>
          <cell r="X81">
            <v>2004</v>
          </cell>
          <cell r="AB81" t="str">
            <v>Borehole redevelopment</v>
          </cell>
          <cell r="BH81" t="str">
            <v>Gambia</v>
          </cell>
          <cell r="BI81" t="str">
            <v>Gambia No.2</v>
          </cell>
          <cell r="BL81">
            <v>2014</v>
          </cell>
          <cell r="BQ81" t="str">
            <v>functional</v>
          </cell>
        </row>
        <row r="82">
          <cell r="A82" t="str">
            <v>eh81-m3sx-3d44</v>
          </cell>
          <cell r="P82" t="str">
            <v>7.066751375804051</v>
          </cell>
          <cell r="Q82" t="str">
            <v>-2.3177158040467396</v>
          </cell>
          <cell r="U82" t="str">
            <v>Borehole</v>
          </cell>
          <cell r="V82" t="str">
            <v>In The Premises Of Nana Gyasihene</v>
          </cell>
          <cell r="W82" t="str">
            <v>Ghana modified India Mark II</v>
          </cell>
          <cell r="X82">
            <v>1987</v>
          </cell>
          <cell r="AB82" t="str">
            <v>Borehole redevelopment</v>
          </cell>
          <cell r="BH82" t="str">
            <v>Ntotroso</v>
          </cell>
          <cell r="BI82" t="str">
            <v>Akyease</v>
          </cell>
          <cell r="BL82">
            <v>1987</v>
          </cell>
          <cell r="BQ82" t="str">
            <v>functional</v>
          </cell>
        </row>
        <row r="83">
          <cell r="A83" t="str">
            <v>ejnw-d32b-28xg</v>
          </cell>
          <cell r="P83" t="str">
            <v>7.027067993866806</v>
          </cell>
          <cell r="Q83" t="str">
            <v>-2.4776904678644183</v>
          </cell>
          <cell r="U83" t="str">
            <v>Borehole</v>
          </cell>
          <cell r="V83" t="str">
            <v>Infront Of The Clinic</v>
          </cell>
          <cell r="W83" t="str">
            <v>AfriDev</v>
          </cell>
          <cell r="X83">
            <v>2010</v>
          </cell>
          <cell r="AB83" t="str">
            <v>Borehole redevelopment</v>
          </cell>
          <cell r="BH83" t="str">
            <v>Kenyasi No.2</v>
          </cell>
          <cell r="BI83" t="str">
            <v>Atwedie Kenyasi No.3</v>
          </cell>
          <cell r="BL83">
            <v>2014</v>
          </cell>
          <cell r="BQ83" t="str">
            <v>functional</v>
          </cell>
        </row>
        <row r="84">
          <cell r="A84" t="str">
            <v>f1nb-7c5t-p9c7</v>
          </cell>
          <cell r="P84" t="str">
            <v>7.1226388558386695</v>
          </cell>
          <cell r="Q84" t="str">
            <v>-2.3276132367463056</v>
          </cell>
          <cell r="U84" t="str">
            <v>Borehole</v>
          </cell>
          <cell r="V84" t="str">
            <v>Opposite Family Of Christ Church</v>
          </cell>
          <cell r="W84" t="str">
            <v>AfriDev</v>
          </cell>
          <cell r="X84">
            <v>2002</v>
          </cell>
          <cell r="AB84" t="str">
            <v>Borehole redevelopment</v>
          </cell>
          <cell r="BH84" t="str">
            <v>Ntotroso</v>
          </cell>
          <cell r="BI84" t="str">
            <v>Amamaso</v>
          </cell>
          <cell r="BL84">
            <v>2014</v>
          </cell>
          <cell r="BQ84" t="str">
            <v>not functional</v>
          </cell>
        </row>
        <row r="85">
          <cell r="A85" t="str">
            <v>f9tx-yjad-2u2n</v>
          </cell>
          <cell r="P85" t="str">
            <v>6.951704716957737</v>
          </cell>
          <cell r="Q85" t="str">
            <v>-2.478357500739697</v>
          </cell>
          <cell r="U85" t="str">
            <v>Borehole</v>
          </cell>
          <cell r="V85" t="str">
            <v>Along Mim Road.</v>
          </cell>
          <cell r="W85" t="str">
            <v>AfriDev</v>
          </cell>
          <cell r="X85">
            <v>2011</v>
          </cell>
          <cell r="AB85" t="str">
            <v>Borehole redevelopment</v>
          </cell>
          <cell r="AJ85" t="str">
            <v>Water table too low (borehole dry)</v>
          </cell>
          <cell r="BH85" t="str">
            <v>Kenyasi No.1</v>
          </cell>
          <cell r="BI85" t="str">
            <v>Kwahu No.2</v>
          </cell>
          <cell r="BL85">
            <v>2016</v>
          </cell>
          <cell r="BQ85" t="str">
            <v>not functional</v>
          </cell>
        </row>
        <row r="86">
          <cell r="A86" t="str">
            <v>fgvh-jr14-7h71</v>
          </cell>
          <cell r="P86" t="str">
            <v>7.038984995759546</v>
          </cell>
          <cell r="Q86" t="str">
            <v>-2.5110708457400834</v>
          </cell>
          <cell r="U86" t="str">
            <v>Borehole</v>
          </cell>
          <cell r="V86" t="str">
            <v>Near Kwame Fosu's House</v>
          </cell>
          <cell r="W86" t="str">
            <v>Ghana modified India Mark II</v>
          </cell>
          <cell r="X86">
            <v>1985</v>
          </cell>
          <cell r="AB86" t="str">
            <v>Borehole redevelopment</v>
          </cell>
          <cell r="BH86" t="str">
            <v>Goamu</v>
          </cell>
          <cell r="BI86" t="str">
            <v>Goamu Camp</v>
          </cell>
          <cell r="BL86">
            <v>2013</v>
          </cell>
          <cell r="BQ86" t="str">
            <v>functional</v>
          </cell>
        </row>
        <row r="87">
          <cell r="A87" t="str">
            <v>fxwy-vtwu-h1u3</v>
          </cell>
          <cell r="P87" t="str">
            <v>6.977501005329981</v>
          </cell>
          <cell r="Q87" t="str">
            <v>-2.5623905234715796</v>
          </cell>
          <cell r="U87" t="str">
            <v>Borehole</v>
          </cell>
          <cell r="V87" t="str">
            <v>within osei Joseph's  cocoa farm in Oseikrom along abogyaa Road</v>
          </cell>
          <cell r="W87" t="str">
            <v>Nira AF-85</v>
          </cell>
          <cell r="X87">
            <v>2012</v>
          </cell>
          <cell r="AB87" t="str">
            <v>Borehole redevelopment</v>
          </cell>
          <cell r="BH87" t="str">
            <v>GOAMU</v>
          </cell>
          <cell r="BI87" t="str">
            <v>ABOAGYAA</v>
          </cell>
          <cell r="BL87">
            <v>2012</v>
          </cell>
          <cell r="BQ87" t="str">
            <v>partially functional</v>
          </cell>
        </row>
        <row r="88">
          <cell r="A88" t="str">
            <v>g0gn-mbvs-jtpx</v>
          </cell>
          <cell r="P88" t="str">
            <v>7.0453353933448115</v>
          </cell>
          <cell r="Q88" t="str">
            <v>-2.44833335221999</v>
          </cell>
          <cell r="U88" t="str">
            <v>Borehole</v>
          </cell>
          <cell r="V88" t="str">
            <v>Near Aga Fusanis Farm</v>
          </cell>
          <cell r="W88" t="str">
            <v>Solar Pump</v>
          </cell>
          <cell r="X88">
            <v>2012</v>
          </cell>
          <cell r="AB88" t="str">
            <v>Borehole redevelopment</v>
          </cell>
          <cell r="BH88" t="str">
            <v>Goamu</v>
          </cell>
          <cell r="BI88" t="str">
            <v>Mmotorkrom</v>
          </cell>
          <cell r="BL88">
            <v>2017</v>
          </cell>
          <cell r="BQ88" t="str">
            <v>functional</v>
          </cell>
        </row>
        <row r="89">
          <cell r="A89" t="str">
            <v>g7p7-h2x0-wd68</v>
          </cell>
          <cell r="P89" t="str">
            <v>7.057173742491878</v>
          </cell>
          <cell r="Q89" t="str">
            <v>-2.386531381070613</v>
          </cell>
          <cell r="U89" t="str">
            <v>Borehole</v>
          </cell>
          <cell r="V89" t="str">
            <v>Agya Addae'Premises</v>
          </cell>
          <cell r="W89" t="str">
            <v>AfriDev</v>
          </cell>
          <cell r="X89">
            <v>2008</v>
          </cell>
          <cell r="AB89" t="str">
            <v>Borehole redevelopment</v>
          </cell>
          <cell r="BH89" t="str">
            <v>Kenyasi No.2</v>
          </cell>
          <cell r="BI89" t="str">
            <v>Kwaku Addaikrom</v>
          </cell>
          <cell r="BL89">
            <v>2012</v>
          </cell>
          <cell r="BQ89" t="str">
            <v>functional</v>
          </cell>
        </row>
        <row r="90">
          <cell r="A90" t="str">
            <v>g875-bwvv-r4e5</v>
          </cell>
          <cell r="P90" t="str">
            <v>7.042495232180223</v>
          </cell>
          <cell r="Q90" t="str">
            <v>-2.39718261134941</v>
          </cell>
          <cell r="U90" t="str">
            <v>Borehole</v>
          </cell>
          <cell r="V90" t="str">
            <v>Near Nana Super's House</v>
          </cell>
          <cell r="W90" t="str">
            <v>AfriDev</v>
          </cell>
          <cell r="X90">
            <v>2004</v>
          </cell>
          <cell r="AB90" t="str">
            <v>Borehole redevelopment</v>
          </cell>
          <cell r="AJ90" t="str">
            <v>facility under repair</v>
          </cell>
          <cell r="BH90" t="str">
            <v>Kenyasi No.2</v>
          </cell>
          <cell r="BI90" t="str">
            <v>Dokyikrom</v>
          </cell>
          <cell r="BL90">
            <v>2017</v>
          </cell>
          <cell r="BQ90" t="str">
            <v>not functional</v>
          </cell>
        </row>
        <row r="91">
          <cell r="A91" t="str">
            <v>gew6-p990-c813</v>
          </cell>
          <cell r="P91" t="str">
            <v>7.009746988259534</v>
          </cell>
          <cell r="Q91" t="str">
            <v>-2.775603240776155</v>
          </cell>
          <cell r="U91" t="str">
            <v>Borehole</v>
          </cell>
          <cell r="V91" t="str">
            <v>Mr Simon'sPremises</v>
          </cell>
          <cell r="W91" t="str">
            <v>AfriDev</v>
          </cell>
          <cell r="X91">
            <v>2006</v>
          </cell>
          <cell r="AB91" t="str">
            <v>Borehole redevelopment</v>
          </cell>
          <cell r="BH91" t="str">
            <v>Gambia</v>
          </cell>
          <cell r="BI91" t="str">
            <v>Yaa Beneagya</v>
          </cell>
          <cell r="BL91">
            <v>2006</v>
          </cell>
          <cell r="BQ91" t="str">
            <v>functional</v>
          </cell>
        </row>
        <row r="92">
          <cell r="A92" t="str">
            <v>ghxd-pchd-b0pn</v>
          </cell>
          <cell r="P92" t="str">
            <v>7.025774672931498</v>
          </cell>
          <cell r="Q92" t="str">
            <v>-2.467981860508871</v>
          </cell>
          <cell r="U92" t="str">
            <v>Borehole</v>
          </cell>
          <cell r="V92" t="str">
            <v>Behind Mallam Seidu's House</v>
          </cell>
          <cell r="W92" t="str">
            <v>AfriDev</v>
          </cell>
          <cell r="X92">
            <v>2012</v>
          </cell>
          <cell r="AB92" t="str">
            <v>Borehole redevelopment</v>
          </cell>
          <cell r="BH92" t="str">
            <v>Goamu</v>
          </cell>
          <cell r="BI92" t="str">
            <v>Kenyasi No.1 Akuraa</v>
          </cell>
          <cell r="BL92">
            <v>2016</v>
          </cell>
          <cell r="BQ92" t="str">
            <v>partially functional</v>
          </cell>
        </row>
        <row r="93">
          <cell r="A93" t="str">
            <v>gmrm-bc3t-vnn0</v>
          </cell>
          <cell r="P93" t="str">
            <v>7.138791161340516</v>
          </cell>
          <cell r="Q93" t="str">
            <v>-2.329524342537526</v>
          </cell>
          <cell r="U93" t="str">
            <v>Borehole</v>
          </cell>
          <cell r="V93" t="str">
            <v>Infront Of The Cocoa Shed</v>
          </cell>
          <cell r="W93" t="str">
            <v>AfriDev</v>
          </cell>
          <cell r="X93">
            <v>2009</v>
          </cell>
          <cell r="AB93" t="str">
            <v>Borehole redevelopment</v>
          </cell>
          <cell r="BH93" t="str">
            <v>Ntotroso</v>
          </cell>
          <cell r="BI93" t="str">
            <v>Nichiama</v>
          </cell>
          <cell r="BL93">
            <v>2014</v>
          </cell>
          <cell r="BQ93" t="str">
            <v>partially functional</v>
          </cell>
        </row>
        <row r="94">
          <cell r="A94" t="str">
            <v>gufv-gcwh-pxgr</v>
          </cell>
          <cell r="P94" t="str">
            <v>7.051013794157029</v>
          </cell>
          <cell r="Q94" t="str">
            <v>-2.3467163632227845</v>
          </cell>
          <cell r="U94" t="str">
            <v>Borehole</v>
          </cell>
          <cell r="V94" t="str">
            <v>Near The Krobo Stream</v>
          </cell>
          <cell r="W94" t="str">
            <v>AfriDev</v>
          </cell>
          <cell r="X94">
            <v>2009</v>
          </cell>
          <cell r="AB94" t="str">
            <v>Borehole redevelopment</v>
          </cell>
          <cell r="BH94" t="str">
            <v>Ntotroso</v>
          </cell>
          <cell r="BI94" t="str">
            <v>Akwarekrom</v>
          </cell>
          <cell r="BL94">
            <v>2009</v>
          </cell>
          <cell r="BQ94" t="str">
            <v>functional</v>
          </cell>
        </row>
        <row r="95">
          <cell r="A95" t="str">
            <v>gvn7-f46w-6jye</v>
          </cell>
          <cell r="P95" t="str">
            <v>6.975362210282163</v>
          </cell>
          <cell r="Q95" t="str">
            <v>-2.3964332990383217</v>
          </cell>
          <cell r="U95" t="str">
            <v>Borehole</v>
          </cell>
          <cell r="V95" t="str">
            <v>Akentensu near the church of Pentecost</v>
          </cell>
          <cell r="W95" t="str">
            <v>AfriDev</v>
          </cell>
          <cell r="X95">
            <v>2012</v>
          </cell>
          <cell r="AB95" t="str">
            <v>Borehole redevelopment</v>
          </cell>
          <cell r="BH95" t="str">
            <v>KENYASI NO.2</v>
          </cell>
          <cell r="BI95" t="str">
            <v>KENYASI NO.2</v>
          </cell>
          <cell r="BL95">
            <v>2012</v>
          </cell>
          <cell r="BQ95" t="str">
            <v>partially functional</v>
          </cell>
        </row>
        <row r="96">
          <cell r="A96" t="str">
            <v>gx91-au7v-duj2</v>
          </cell>
          <cell r="P96" t="str">
            <v>7.043701354593514</v>
          </cell>
          <cell r="Q96" t="str">
            <v>-2.7473312682432907</v>
          </cell>
          <cell r="U96" t="str">
            <v>Borehole</v>
          </cell>
          <cell r="V96" t="str">
            <v>Elder Tetteh's Premises</v>
          </cell>
          <cell r="W96" t="str">
            <v>Solar Pump</v>
          </cell>
          <cell r="X96">
            <v>2013</v>
          </cell>
          <cell r="AB96" t="str">
            <v>Borehole redevelopment</v>
          </cell>
          <cell r="BH96" t="str">
            <v>Gambia</v>
          </cell>
          <cell r="BI96" t="str">
            <v>Pobikrom</v>
          </cell>
          <cell r="BL96">
            <v>2013</v>
          </cell>
          <cell r="BQ96" t="str">
            <v>not functional</v>
          </cell>
        </row>
        <row r="97">
          <cell r="A97" t="str">
            <v>gyg1-ea5s-sm09</v>
          </cell>
          <cell r="P97" t="str">
            <v>7.090553081873427</v>
          </cell>
          <cell r="Q97" t="str">
            <v>-2.342975660427989</v>
          </cell>
          <cell r="U97" t="str">
            <v>Borehole</v>
          </cell>
          <cell r="V97" t="str">
            <v>Behind The Community Center</v>
          </cell>
          <cell r="W97" t="str">
            <v>AfriDev</v>
          </cell>
          <cell r="X97">
            <v>2009</v>
          </cell>
          <cell r="AB97" t="str">
            <v>Borehole redevelopment</v>
          </cell>
          <cell r="BH97" t="str">
            <v>Ntotroso</v>
          </cell>
          <cell r="BI97" t="str">
            <v>Wamahinso</v>
          </cell>
          <cell r="BL97">
            <v>2014</v>
          </cell>
          <cell r="BQ97" t="str">
            <v>functional</v>
          </cell>
        </row>
        <row r="98">
          <cell r="A98" t="str">
            <v>h0fa-d46h-6ca1</v>
          </cell>
          <cell r="P98" t="str">
            <v>6.978180781912801</v>
          </cell>
          <cell r="Q98" t="str">
            <v>-2.3947054385078554</v>
          </cell>
          <cell r="U98" t="str">
            <v>Borehole</v>
          </cell>
          <cell r="V98" t="str">
            <v>Teacher Egbe Premises</v>
          </cell>
          <cell r="W98" t="str">
            <v>Solar Pump</v>
          </cell>
          <cell r="X98">
            <v>2014</v>
          </cell>
          <cell r="AB98" t="str">
            <v>Borehole redevelopment</v>
          </cell>
          <cell r="BH98" t="str">
            <v>Kenyasi No.2</v>
          </cell>
          <cell r="BI98" t="str">
            <v>Adum Kenyasi</v>
          </cell>
          <cell r="BL98">
            <v>2016</v>
          </cell>
          <cell r="BQ98" t="str">
            <v>partially functional</v>
          </cell>
        </row>
        <row r="99">
          <cell r="A99" t="str">
            <v>h4te-2567-sfcw</v>
          </cell>
          <cell r="P99" t="str">
            <v>7.123654091418226</v>
          </cell>
          <cell r="Q99" t="str">
            <v>-2.3087324419418076</v>
          </cell>
          <cell r="U99" t="str">
            <v>Borehole</v>
          </cell>
          <cell r="V99" t="str">
            <v>Behind The Queenmother's House</v>
          </cell>
          <cell r="W99" t="str">
            <v>AfriDev</v>
          </cell>
          <cell r="X99">
            <v>2006</v>
          </cell>
          <cell r="AB99" t="str">
            <v>Borehole redevelopment</v>
          </cell>
          <cell r="BH99" t="str">
            <v>Ntotroso</v>
          </cell>
          <cell r="BI99" t="str">
            <v>Panaba</v>
          </cell>
          <cell r="BL99">
            <v>2014</v>
          </cell>
          <cell r="BQ99" t="str">
            <v>functional</v>
          </cell>
        </row>
        <row r="100">
          <cell r="A100" t="str">
            <v>h8pw-9f1h-xmd9</v>
          </cell>
          <cell r="P100" t="str">
            <v>7.152185424318713</v>
          </cell>
          <cell r="Q100" t="str">
            <v>-2.33377658182705</v>
          </cell>
          <cell r="U100" t="str">
            <v>Borehole</v>
          </cell>
          <cell r="V100" t="str">
            <v>Near Madam Agyemang's House</v>
          </cell>
          <cell r="W100" t="str">
            <v>AfriDev</v>
          </cell>
          <cell r="X100">
            <v>2012</v>
          </cell>
          <cell r="AB100" t="str">
            <v>Borehole redevelopment</v>
          </cell>
          <cell r="BH100" t="str">
            <v>Ntotroso</v>
          </cell>
          <cell r="BI100" t="str">
            <v>Amamaso Centre</v>
          </cell>
          <cell r="BL100">
            <v>2014</v>
          </cell>
          <cell r="BQ100" t="str">
            <v>not functional</v>
          </cell>
        </row>
        <row r="101">
          <cell r="A101" t="str">
            <v>hupb-1k55-bpy3</v>
          </cell>
          <cell r="P101" t="str">
            <v>7.068975991719493</v>
          </cell>
          <cell r="Q101" t="str">
            <v>-2.4130149247600703</v>
          </cell>
          <cell r="U101" t="str">
            <v>Borehole</v>
          </cell>
          <cell r="V101" t="str">
            <v>Trome Alhaji Akuraa on road side leading to Tewiakrom</v>
          </cell>
          <cell r="W101" t="str">
            <v>Ghana modified India Mark II</v>
          </cell>
          <cell r="X101">
            <v>2015</v>
          </cell>
          <cell r="AB101" t="str">
            <v>Borehole redevelopment</v>
          </cell>
          <cell r="AJ101" t="str">
            <v>Unknown</v>
          </cell>
          <cell r="BH101" t="str">
            <v>NTOTROSO</v>
          </cell>
          <cell r="BI101" t="str">
            <v>TROME</v>
          </cell>
          <cell r="BL101">
            <v>2015</v>
          </cell>
          <cell r="BQ101" t="str">
            <v>not functional</v>
          </cell>
        </row>
        <row r="102">
          <cell r="A102" t="str">
            <v>hx2a-n4bd-hbs6</v>
          </cell>
          <cell r="P102" t="str">
            <v>6.925859913819012</v>
          </cell>
          <cell r="Q102" t="str">
            <v>-2.4330914140587643</v>
          </cell>
          <cell r="U102" t="str">
            <v>Borehole</v>
          </cell>
          <cell r="V102" t="str">
            <v>Rural Health Clinic Premises</v>
          </cell>
          <cell r="W102" t="str">
            <v>AfriDev</v>
          </cell>
          <cell r="X102">
            <v>2011</v>
          </cell>
          <cell r="AB102" t="str">
            <v>Borehole redevelopment</v>
          </cell>
          <cell r="BH102" t="str">
            <v>Kenyasi No.1</v>
          </cell>
          <cell r="BI102" t="str">
            <v>Donkorkrom</v>
          </cell>
          <cell r="BL102">
            <v>2016</v>
          </cell>
          <cell r="BQ102" t="str">
            <v>functional</v>
          </cell>
        </row>
        <row r="103">
          <cell r="A103" t="str">
            <v>hyjp-ug9h-y5s3</v>
          </cell>
          <cell r="P103" t="str">
            <v>7.0770761449461155</v>
          </cell>
          <cell r="Q103" t="str">
            <v>-2.424812614936751</v>
          </cell>
          <cell r="U103" t="str">
            <v>Borehole</v>
          </cell>
          <cell r="V103" t="str">
            <v>Near Nyantekyi's House</v>
          </cell>
          <cell r="W103" t="str">
            <v>AfriDev</v>
          </cell>
          <cell r="X103">
            <v>2004</v>
          </cell>
          <cell r="AB103" t="str">
            <v>Borehole redevelopment</v>
          </cell>
          <cell r="BH103" t="str">
            <v>Ntotroso</v>
          </cell>
          <cell r="BI103" t="str">
            <v>Nweneso</v>
          </cell>
          <cell r="BL103">
            <v>2004</v>
          </cell>
          <cell r="BQ103" t="str">
            <v>functional</v>
          </cell>
        </row>
        <row r="104">
          <cell r="A104" t="str">
            <v>j0tb-qsgq-89ph</v>
          </cell>
          <cell r="P104" t="str">
            <v>7.05689235</v>
          </cell>
          <cell r="Q104" t="str">
            <v>-2.65168584</v>
          </cell>
          <cell r="U104" t="str">
            <v>Borehole</v>
          </cell>
          <cell r="V104" t="str">
            <v>Opposite Mr Alhassan's house</v>
          </cell>
          <cell r="W104" t="str">
            <v>AfriDev</v>
          </cell>
          <cell r="X104">
            <v>2014</v>
          </cell>
          <cell r="AB104" t="str">
            <v>Borehole redevelopment</v>
          </cell>
          <cell r="BH104" t="str">
            <v>GAMBIA</v>
          </cell>
          <cell r="BI104" t="str">
            <v>GAMBIA NO.2</v>
          </cell>
          <cell r="BL104">
            <v>2014</v>
          </cell>
          <cell r="BQ104" t="str">
            <v>functional</v>
          </cell>
        </row>
        <row r="105">
          <cell r="A105" t="str">
            <v>j3r1-0d24-n6bp</v>
          </cell>
          <cell r="P105" t="str">
            <v>7.037138898849389</v>
          </cell>
          <cell r="Q105" t="str">
            <v>-2.4336445205134414</v>
          </cell>
          <cell r="U105" t="str">
            <v>Borehole</v>
          </cell>
          <cell r="V105" t="str">
            <v>Nana Kontor Cocoa Farme</v>
          </cell>
          <cell r="W105" t="str">
            <v>AfriDev</v>
          </cell>
          <cell r="X105">
            <v>2005</v>
          </cell>
          <cell r="AB105" t="str">
            <v>Borehole redevelopment</v>
          </cell>
          <cell r="BH105" t="str">
            <v>Goamu</v>
          </cell>
          <cell r="BI105" t="str">
            <v>Kwakurikrom</v>
          </cell>
          <cell r="BL105">
            <v>2016</v>
          </cell>
          <cell r="BQ105" t="str">
            <v>partially functional</v>
          </cell>
        </row>
        <row r="106">
          <cell r="A106" t="str">
            <v>jbgm-skeq-va7f</v>
          </cell>
          <cell r="P106" t="str">
            <v>7.060961394031212</v>
          </cell>
          <cell r="Q106" t="str">
            <v>-2.6544412406056055</v>
          </cell>
          <cell r="U106" t="str">
            <v>Borehole</v>
          </cell>
          <cell r="V106" t="str">
            <v>Behind Nanahema Building</v>
          </cell>
          <cell r="W106" t="str">
            <v>Ghana modified India Mark II</v>
          </cell>
          <cell r="X106">
            <v>1986</v>
          </cell>
          <cell r="AB106" t="str">
            <v>Borehole redevelopment</v>
          </cell>
          <cell r="BH106" t="str">
            <v>Gambia</v>
          </cell>
          <cell r="BI106" t="str">
            <v>Gambia No.2</v>
          </cell>
          <cell r="BL106">
            <v>2014</v>
          </cell>
          <cell r="BQ106" t="str">
            <v>not functional</v>
          </cell>
        </row>
        <row r="107">
          <cell r="A107" t="str">
            <v>jt47-j9c0-bkx2</v>
          </cell>
          <cell r="P107" t="str">
            <v>7.023345253923188</v>
          </cell>
          <cell r="Q107" t="str">
            <v>-2.480237617937242</v>
          </cell>
          <cell r="U107" t="str">
            <v>Hand dug well</v>
          </cell>
          <cell r="V107" t="str">
            <v>Near Buy The Future International School</v>
          </cell>
          <cell r="W107" t="str">
            <v>Nira AF-85</v>
          </cell>
          <cell r="X107">
            <v>2012</v>
          </cell>
          <cell r="AB107" t="str">
            <v>Borehole redevelopment</v>
          </cell>
          <cell r="BH107" t="str">
            <v>Goamu</v>
          </cell>
          <cell r="BI107" t="str">
            <v>Agya Mensah Akuraa</v>
          </cell>
          <cell r="BL107">
            <v>2012</v>
          </cell>
          <cell r="BQ107" t="str">
            <v>functional</v>
          </cell>
        </row>
        <row r="108">
          <cell r="A108" t="str">
            <v>k1ke-bk5c-q3na</v>
          </cell>
          <cell r="P108" t="str">
            <v>6.958097265369156</v>
          </cell>
          <cell r="Q108" t="str">
            <v>-2.4275019912806886</v>
          </cell>
          <cell r="U108" t="str">
            <v>Borehole</v>
          </cell>
          <cell r="V108" t="str">
            <v>Just By The Roadside</v>
          </cell>
          <cell r="W108" t="str">
            <v>AfriDev</v>
          </cell>
          <cell r="X108">
            <v>2012</v>
          </cell>
          <cell r="AB108" t="str">
            <v>Borehole redevelopment</v>
          </cell>
          <cell r="BH108" t="str">
            <v>Kenyasi No.1</v>
          </cell>
          <cell r="BI108" t="str">
            <v>Yakuba Village</v>
          </cell>
          <cell r="BL108">
            <v>2012</v>
          </cell>
          <cell r="BQ108" t="str">
            <v>functional</v>
          </cell>
        </row>
        <row r="109">
          <cell r="A109" t="str">
            <v>k2qf-q97c-ar2e</v>
          </cell>
          <cell r="P109" t="str">
            <v>6.935930036552514</v>
          </cell>
          <cell r="Q109" t="str">
            <v>-2.4113156034200003</v>
          </cell>
          <cell r="U109" t="str">
            <v>Borehole</v>
          </cell>
          <cell r="V109" t="str">
            <v>School Premises</v>
          </cell>
          <cell r="W109" t="str">
            <v>AfriDev</v>
          </cell>
          <cell r="X109">
            <v>2012</v>
          </cell>
          <cell r="AB109" t="str">
            <v>Borehole redevelopment</v>
          </cell>
          <cell r="BH109" t="str">
            <v>Kenyasi No.1</v>
          </cell>
          <cell r="BI109" t="str">
            <v>Obengkrom</v>
          </cell>
          <cell r="BL109">
            <v>2016</v>
          </cell>
          <cell r="BQ109" t="str">
            <v>functional</v>
          </cell>
        </row>
        <row r="110">
          <cell r="A110" t="str">
            <v>k52c-0cbk-600j</v>
          </cell>
          <cell r="P110" t="str">
            <v>6.933312458285283</v>
          </cell>
          <cell r="Q110" t="str">
            <v>-2.412342003692995</v>
          </cell>
          <cell r="U110" t="str">
            <v>Borehole</v>
          </cell>
          <cell r="V110" t="str">
            <v>Along Donkor Kromu Road</v>
          </cell>
          <cell r="W110" t="str">
            <v>AfriDev</v>
          </cell>
          <cell r="X110">
            <v>2012</v>
          </cell>
          <cell r="AB110" t="str">
            <v>Borehole redevelopment</v>
          </cell>
          <cell r="BH110" t="str">
            <v>Kenyasi No.1</v>
          </cell>
          <cell r="BI110" t="str">
            <v>Obengkrom</v>
          </cell>
          <cell r="BL110">
            <v>2016</v>
          </cell>
          <cell r="BQ110" t="str">
            <v>functional</v>
          </cell>
        </row>
        <row r="111">
          <cell r="A111" t="str">
            <v>k79n-2taj-x2x0</v>
          </cell>
          <cell r="P111" t="str">
            <v>7.04373631853741</v>
          </cell>
          <cell r="Q111" t="str">
            <v>-2.7377461552713913</v>
          </cell>
          <cell r="U111" t="str">
            <v>Hand dug well</v>
          </cell>
          <cell r="V111" t="str">
            <v>Along Kwabena Afo Road</v>
          </cell>
          <cell r="W111" t="str">
            <v>AfriDev</v>
          </cell>
          <cell r="X111">
            <v>2004</v>
          </cell>
          <cell r="AB111" t="str">
            <v>Borehole redevelopment</v>
          </cell>
          <cell r="BH111" t="str">
            <v>Gambia</v>
          </cell>
          <cell r="BI111" t="str">
            <v>Anwona</v>
          </cell>
          <cell r="BL111">
            <v>2004</v>
          </cell>
          <cell r="BQ111" t="str">
            <v>partially functional</v>
          </cell>
        </row>
        <row r="112">
          <cell r="A112" t="str">
            <v>ke6a-gyh8-mbd2</v>
          </cell>
          <cell r="P112" t="str">
            <v>6.98552640563157</v>
          </cell>
          <cell r="Q112" t="str">
            <v>-2.378530674102072</v>
          </cell>
          <cell r="U112" t="str">
            <v>Borehole</v>
          </cell>
          <cell r="V112" t="str">
            <v>In The Premises Of Andy Rich Byepass</v>
          </cell>
          <cell r="W112" t="str">
            <v>Solar Pump</v>
          </cell>
          <cell r="X112">
            <v>2013</v>
          </cell>
          <cell r="AB112" t="str">
            <v>Borehole redevelopment</v>
          </cell>
          <cell r="BH112" t="str">
            <v>Kenyasi No.2</v>
          </cell>
          <cell r="BI112" t="str">
            <v>Byepass</v>
          </cell>
          <cell r="BL112">
            <v>2017</v>
          </cell>
          <cell r="BQ112" t="str">
            <v>functional</v>
          </cell>
        </row>
        <row r="113">
          <cell r="A113" t="str">
            <v>kq21-0vc3-fwj8</v>
          </cell>
          <cell r="P113" t="str">
            <v>7.070779048995541</v>
          </cell>
          <cell r="Q113" t="str">
            <v>-2.4393070118316196</v>
          </cell>
          <cell r="U113" t="str">
            <v>Borehole</v>
          </cell>
          <cell r="V113" t="str">
            <v>Malam Yahaya's Farm</v>
          </cell>
          <cell r="W113" t="str">
            <v>AfriDev</v>
          </cell>
          <cell r="X113">
            <v>1987</v>
          </cell>
          <cell r="AB113" t="str">
            <v>Borehole redevelopment</v>
          </cell>
          <cell r="AJ113" t="str">
            <v>Handpump broken</v>
          </cell>
          <cell r="BH113" t="str">
            <v>Ntotroso</v>
          </cell>
          <cell r="BI113" t="str">
            <v>Osei Yawkrom</v>
          </cell>
          <cell r="BL113">
            <v>2013</v>
          </cell>
          <cell r="BQ113" t="str">
            <v>functional</v>
          </cell>
        </row>
        <row r="114">
          <cell r="A114" t="str">
            <v>kt6h-h5ph-2na2</v>
          </cell>
          <cell r="P114" t="str">
            <v>7.08955422</v>
          </cell>
          <cell r="Q114" t="str">
            <v>-2.60639892</v>
          </cell>
          <cell r="U114" t="str">
            <v>Borehole</v>
          </cell>
          <cell r="V114" t="str">
            <v>In premises of the chipp Compound</v>
          </cell>
          <cell r="W114" t="str">
            <v>AfriDev</v>
          </cell>
          <cell r="X114">
            <v>2017</v>
          </cell>
          <cell r="AB114" t="str">
            <v>Borehole redevelopment</v>
          </cell>
          <cell r="BH114" t="str">
            <v>GAMBIA</v>
          </cell>
          <cell r="BI114" t="str">
            <v>NSUTA</v>
          </cell>
          <cell r="BL114">
            <v>2017</v>
          </cell>
          <cell r="BQ114" t="str">
            <v>functional</v>
          </cell>
        </row>
        <row r="115">
          <cell r="A115" t="str">
            <v>kvkx-6s69-qhas</v>
          </cell>
          <cell r="P115" t="str">
            <v>6.974330718120599</v>
          </cell>
          <cell r="Q115" t="str">
            <v>-2.375336539796159</v>
          </cell>
          <cell r="U115" t="str">
            <v>Borehole</v>
          </cell>
          <cell r="V115" t="str">
            <v>Near Amana Steam</v>
          </cell>
          <cell r="W115" t="str">
            <v>AfriDev</v>
          </cell>
          <cell r="X115">
            <v>2011</v>
          </cell>
          <cell r="AB115" t="str">
            <v>Borehole redevelopment</v>
          </cell>
          <cell r="BH115" t="str">
            <v>Kenyasi No.1</v>
          </cell>
          <cell r="BI115" t="str">
            <v>Kenyasi No.1</v>
          </cell>
          <cell r="BL115">
            <v>2012</v>
          </cell>
          <cell r="BQ115" t="str">
            <v>not functional</v>
          </cell>
        </row>
        <row r="116">
          <cell r="A116" t="str">
            <v>m3ry-uqxr-yc6g</v>
          </cell>
          <cell r="P116" t="str">
            <v>7.049165245021086</v>
          </cell>
          <cell r="Q116" t="str">
            <v>-2.7556103714171267</v>
          </cell>
          <cell r="U116" t="str">
            <v>Borehole</v>
          </cell>
          <cell r="V116" t="str">
            <v>Fire's Premises</v>
          </cell>
          <cell r="W116" t="str">
            <v>Solar Pump</v>
          </cell>
          <cell r="X116">
            <v>2013</v>
          </cell>
          <cell r="AB116" t="str">
            <v>Borehole redevelopment</v>
          </cell>
          <cell r="BH116" t="str">
            <v>Gambia</v>
          </cell>
          <cell r="BI116" t="str">
            <v>Kwagyankrom</v>
          </cell>
          <cell r="BL116">
            <v>2013</v>
          </cell>
          <cell r="BQ116" t="str">
            <v>partially functional</v>
          </cell>
        </row>
        <row r="117">
          <cell r="A117" t="str">
            <v>m8a2-7tht-nepj</v>
          </cell>
          <cell r="P117" t="str">
            <v>7.0384501986335035</v>
          </cell>
          <cell r="Q117" t="str">
            <v>-2.5099902432614196</v>
          </cell>
          <cell r="U117" t="str">
            <v>Borehole</v>
          </cell>
          <cell r="V117" t="str">
            <v>Charles Kusi House</v>
          </cell>
          <cell r="W117" t="str">
            <v>AfriDev</v>
          </cell>
          <cell r="X117">
            <v>2004</v>
          </cell>
          <cell r="AB117" t="str">
            <v>Borehole redevelopment</v>
          </cell>
          <cell r="BH117" t="str">
            <v>Goamu</v>
          </cell>
          <cell r="BI117" t="str">
            <v>Goamu Camp</v>
          </cell>
          <cell r="BL117">
            <v>2017</v>
          </cell>
          <cell r="BQ117" t="str">
            <v>partially functional</v>
          </cell>
        </row>
        <row r="118">
          <cell r="A118" t="str">
            <v>mpx5-7xjv-a8hp</v>
          </cell>
          <cell r="P118" t="str">
            <v>7.067648721379732</v>
          </cell>
          <cell r="Q118" t="str">
            <v>-2.405785269771507</v>
          </cell>
          <cell r="U118" t="str">
            <v>Borehole</v>
          </cell>
          <cell r="V118" t="str">
            <v>Inbetween Chief And Aboaa Village</v>
          </cell>
          <cell r="W118" t="str">
            <v>AfriDev</v>
          </cell>
          <cell r="X118">
            <v>2007</v>
          </cell>
          <cell r="AB118" t="str">
            <v>Borehole redevelopment</v>
          </cell>
          <cell r="BH118" t="str">
            <v>Kenyasi No.2</v>
          </cell>
          <cell r="BI118" t="str">
            <v>Horonase</v>
          </cell>
          <cell r="BL118">
            <v>2016</v>
          </cell>
          <cell r="BQ118" t="str">
            <v>partially functional</v>
          </cell>
        </row>
        <row r="119">
          <cell r="A119" t="str">
            <v>mrp0-9ynr-s7tt</v>
          </cell>
          <cell r="P119" t="str">
            <v>6.978989250619498</v>
          </cell>
          <cell r="Q119" t="str">
            <v>-2.562072220097968</v>
          </cell>
          <cell r="U119" t="str">
            <v>Borehole</v>
          </cell>
          <cell r="V119" t="str">
            <v>Oseikrom along abogyaa road</v>
          </cell>
          <cell r="W119" t="str">
            <v>AfriDev</v>
          </cell>
          <cell r="X119">
            <v>2016</v>
          </cell>
          <cell r="AB119" t="str">
            <v>Borehole redevelopment</v>
          </cell>
          <cell r="BH119" t="str">
            <v>GOAMU</v>
          </cell>
          <cell r="BI119" t="str">
            <v>ABOAGYAA</v>
          </cell>
          <cell r="BL119">
            <v>2016</v>
          </cell>
          <cell r="BQ119" t="str">
            <v>functional</v>
          </cell>
        </row>
        <row r="120">
          <cell r="A120" t="str">
            <v>n05n-hg3y-c9v1</v>
          </cell>
          <cell r="P120" t="str">
            <v>7.064897426603456</v>
          </cell>
          <cell r="Q120" t="str">
            <v>-2.3224411945075074</v>
          </cell>
          <cell r="U120" t="str">
            <v>Borehole</v>
          </cell>
          <cell r="V120" t="str">
            <v>Near Aunti Asibi Wakye's House</v>
          </cell>
          <cell r="W120" t="str">
            <v>Ghana modified India Mark II</v>
          </cell>
          <cell r="X120">
            <v>1987</v>
          </cell>
          <cell r="AB120" t="str">
            <v>Borehole redevelopment</v>
          </cell>
          <cell r="AJ120" t="str">
            <v>Water table too low (borehole dry)</v>
          </cell>
          <cell r="BH120" t="str">
            <v>Ntotroso</v>
          </cell>
          <cell r="BI120" t="str">
            <v>Gyedu</v>
          </cell>
          <cell r="BL120">
            <v>1987</v>
          </cell>
          <cell r="BQ120" t="str">
            <v>No repeat</v>
          </cell>
        </row>
        <row r="121">
          <cell r="A121" t="str">
            <v>nj4s-ntkt-eb7s</v>
          </cell>
          <cell r="P121" t="str">
            <v>7.089328509029292</v>
          </cell>
          <cell r="Q121" t="str">
            <v>-2.3415077328272367</v>
          </cell>
          <cell r="U121" t="str">
            <v>Borehole</v>
          </cell>
          <cell r="V121" t="str">
            <v>Behind Adwoa Gyamera Chop Bar</v>
          </cell>
          <cell r="W121" t="str">
            <v>AfriDev</v>
          </cell>
          <cell r="X121">
            <v>1987</v>
          </cell>
          <cell r="AB121" t="str">
            <v>Borehole redevelopment</v>
          </cell>
          <cell r="AJ121" t="str">
            <v>Handpump broken</v>
          </cell>
          <cell r="BH121" t="str">
            <v>Ntotroso</v>
          </cell>
          <cell r="BI121" t="str">
            <v>Wamahinso</v>
          </cell>
          <cell r="BL121">
            <v>1987</v>
          </cell>
          <cell r="BQ121" t="str">
            <v>not functional</v>
          </cell>
        </row>
        <row r="122">
          <cell r="A122" t="str">
            <v>nxk8-xpge-h486</v>
          </cell>
          <cell r="P122" t="str">
            <v>6.9892166695149704</v>
          </cell>
          <cell r="Q122" t="str">
            <v>-2.4763504229966378</v>
          </cell>
          <cell r="U122" t="str">
            <v>Borehole</v>
          </cell>
          <cell r="V122" t="str">
            <v>Joans Adjei Premises</v>
          </cell>
          <cell r="W122" t="str">
            <v>Solar Pump</v>
          </cell>
          <cell r="X122">
            <v>2013</v>
          </cell>
          <cell r="AB122" t="str">
            <v>Borehole redevelopment</v>
          </cell>
          <cell r="BH122" t="str">
            <v>Kenyasi No.1</v>
          </cell>
          <cell r="BI122" t="str">
            <v>Esinanim Yarokrom</v>
          </cell>
          <cell r="BL122">
            <v>2013</v>
          </cell>
          <cell r="BQ122" t="str">
            <v>functional</v>
          </cell>
        </row>
        <row r="123">
          <cell r="A123" t="str">
            <v>p1v8-07v9-793a</v>
          </cell>
          <cell r="P123" t="str">
            <v>7.018125260700438</v>
          </cell>
          <cell r="Q123" t="str">
            <v>-2.423886961031739</v>
          </cell>
          <cell r="U123" t="str">
            <v>Borehole</v>
          </cell>
          <cell r="V123" t="str">
            <v>Near Church Of Pentecost</v>
          </cell>
          <cell r="W123" t="str">
            <v>AfriDev</v>
          </cell>
          <cell r="X123">
            <v>1998</v>
          </cell>
          <cell r="AB123" t="str">
            <v>Borehole redevelopment</v>
          </cell>
          <cell r="BH123" t="str">
            <v>Goamu</v>
          </cell>
          <cell r="BI123" t="str">
            <v>Asempanaye</v>
          </cell>
          <cell r="BL123">
            <v>2016</v>
          </cell>
          <cell r="BQ123" t="str">
            <v>partially functional</v>
          </cell>
        </row>
        <row r="124">
          <cell r="A124" t="str">
            <v>p2tp-8wdr-kc3c</v>
          </cell>
          <cell r="P124" t="str">
            <v>7.0623517223748475</v>
          </cell>
          <cell r="Q124" t="str">
            <v>-2.392650328801002</v>
          </cell>
          <cell r="U124" t="str">
            <v>Borehole</v>
          </cell>
          <cell r="V124" t="str">
            <v>Near Mrs Joyce Poku cocoa farm</v>
          </cell>
          <cell r="W124" t="str">
            <v>AfriDev</v>
          </cell>
          <cell r="X124">
            <v>2016</v>
          </cell>
          <cell r="AB124" t="str">
            <v>Borehole redevelopment</v>
          </cell>
          <cell r="BH124" t="str">
            <v>KENYASI NO.2</v>
          </cell>
          <cell r="BI124" t="str">
            <v>KENYASI NO.2</v>
          </cell>
          <cell r="BL124">
            <v>2016</v>
          </cell>
          <cell r="BQ124" t="str">
            <v>functional</v>
          </cell>
        </row>
        <row r="125">
          <cell r="A125" t="str">
            <v>p7ku-j25q-779f</v>
          </cell>
          <cell r="P125" t="str">
            <v>6.999540703775565</v>
          </cell>
          <cell r="Q125" t="str">
            <v>-2.3777040668428366</v>
          </cell>
          <cell r="U125" t="str">
            <v>Borehole</v>
          </cell>
          <cell r="V125" t="str">
            <v>Prisons Farm</v>
          </cell>
          <cell r="W125" t="str">
            <v>Ghana modified India Mark II</v>
          </cell>
          <cell r="X125">
            <v>1987</v>
          </cell>
          <cell r="AB125" t="str">
            <v>Borehole redevelopment</v>
          </cell>
          <cell r="BH125" t="str">
            <v>Kenyasi No.1</v>
          </cell>
          <cell r="BI125" t="str">
            <v>Prison Camp</v>
          </cell>
          <cell r="BL125">
            <v>1987</v>
          </cell>
          <cell r="BQ125" t="str">
            <v>not functional</v>
          </cell>
        </row>
        <row r="126">
          <cell r="A126" t="str">
            <v>pcew-edr7-dqq6</v>
          </cell>
          <cell r="P126" t="str">
            <v>7.036445272772029</v>
          </cell>
          <cell r="Q126" t="str">
            <v>-2.511619731514274</v>
          </cell>
          <cell r="U126" t="str">
            <v>Borehole</v>
          </cell>
          <cell r="V126" t="str">
            <v>Gyidem</v>
          </cell>
          <cell r="W126" t="str">
            <v>Solar Pump</v>
          </cell>
          <cell r="X126">
            <v>2012</v>
          </cell>
          <cell r="AB126" t="str">
            <v>Borehole redevelopment</v>
          </cell>
          <cell r="BH126" t="str">
            <v>Goamu</v>
          </cell>
          <cell r="BI126" t="str">
            <v>Goamu-Camp</v>
          </cell>
          <cell r="BL126">
            <v>2012</v>
          </cell>
          <cell r="BQ126" t="str">
            <v>not functional</v>
          </cell>
        </row>
        <row r="127">
          <cell r="A127" t="str">
            <v>phm4-rhh5-253v</v>
          </cell>
          <cell r="P127" t="str">
            <v>6.992802285046338</v>
          </cell>
          <cell r="Q127" t="str">
            <v>-2.537326221944706</v>
          </cell>
          <cell r="U127" t="str">
            <v>Borehole</v>
          </cell>
          <cell r="V127" t="str">
            <v>Close To The Teachers Quarters</v>
          </cell>
          <cell r="W127" t="str">
            <v>AfriDev</v>
          </cell>
          <cell r="X127">
            <v>2012</v>
          </cell>
          <cell r="AB127" t="str">
            <v>Borehole redevelopment</v>
          </cell>
          <cell r="BH127" t="str">
            <v>Goamu</v>
          </cell>
          <cell r="BI127" t="str">
            <v>Kensere</v>
          </cell>
          <cell r="BL127">
            <v>2014</v>
          </cell>
          <cell r="BQ127" t="str">
            <v>not functional</v>
          </cell>
        </row>
        <row r="128">
          <cell r="A128" t="str">
            <v>q6ba-xage-6959</v>
          </cell>
          <cell r="P128" t="str">
            <v>7.067789495053231</v>
          </cell>
          <cell r="Q128" t="str">
            <v>-2.4929096819697096</v>
          </cell>
          <cell r="U128" t="str">
            <v>Borehole</v>
          </cell>
          <cell r="V128" t="str">
            <v>Along Goamo Koforidua Road</v>
          </cell>
          <cell r="W128" t="str">
            <v>Ghana modified India Mark II</v>
          </cell>
          <cell r="X128">
            <v>1987</v>
          </cell>
          <cell r="AB128" t="str">
            <v>Borehole redevelopment</v>
          </cell>
          <cell r="BH128" t="str">
            <v>Goamu</v>
          </cell>
          <cell r="BI128" t="str">
            <v>Goamu Asamang</v>
          </cell>
          <cell r="BL128">
            <v>2013</v>
          </cell>
          <cell r="BQ128" t="str">
            <v>partially functional</v>
          </cell>
        </row>
        <row r="129">
          <cell r="A129" t="str">
            <v>q6jw-ye22-6w6</v>
          </cell>
          <cell r="P129" t="str">
            <v>6.997206363725315</v>
          </cell>
          <cell r="Q129" t="str">
            <v>-2.453130494674459</v>
          </cell>
          <cell r="U129" t="str">
            <v>Hand dug well</v>
          </cell>
          <cell r="V129" t="str">
            <v>Few Meters After The Park</v>
          </cell>
          <cell r="W129" t="str">
            <v>Nira AF-85</v>
          </cell>
          <cell r="X129">
            <v>1998</v>
          </cell>
          <cell r="AB129" t="str">
            <v>Borehole redevelopment</v>
          </cell>
          <cell r="BH129" t="str">
            <v>Goamu</v>
          </cell>
          <cell r="BI129" t="str">
            <v>Ama Agyemangkrom</v>
          </cell>
          <cell r="BL129">
            <v>2016</v>
          </cell>
          <cell r="BQ129" t="str">
            <v>partially functional</v>
          </cell>
        </row>
        <row r="130">
          <cell r="A130" t="str">
            <v>qa5c-27v6-b0jq</v>
          </cell>
          <cell r="P130" t="str">
            <v>7.03965914977915</v>
          </cell>
          <cell r="Q130" t="str">
            <v>-2.640399496652286</v>
          </cell>
          <cell r="U130" t="str">
            <v>Borehole</v>
          </cell>
          <cell r="V130" t="str">
            <v>Nana Sarfo's Coaco Farm</v>
          </cell>
          <cell r="W130" t="str">
            <v>Ghana modified India Mark II</v>
          </cell>
          <cell r="X130">
            <v>1986</v>
          </cell>
          <cell r="AB130" t="str">
            <v>Borehole redevelopment</v>
          </cell>
          <cell r="BH130" t="str">
            <v>Gambia</v>
          </cell>
          <cell r="BI130" t="str">
            <v>Gambia No.1</v>
          </cell>
          <cell r="BL130">
            <v>2013</v>
          </cell>
          <cell r="BQ130" t="str">
            <v>not functional</v>
          </cell>
        </row>
        <row r="131">
          <cell r="A131" t="str">
            <v>qkbb-jeah-sak7</v>
          </cell>
          <cell r="P131" t="str">
            <v>7.083272434115498</v>
          </cell>
          <cell r="Q131" t="str">
            <v>-2.4164515308689345</v>
          </cell>
          <cell r="U131" t="str">
            <v>Borehole</v>
          </cell>
          <cell r="V131" t="str">
            <v>Mamae Tawias Cocoa Farm</v>
          </cell>
          <cell r="W131" t="str">
            <v>AfriDev</v>
          </cell>
          <cell r="X131">
            <v>2008</v>
          </cell>
          <cell r="AB131" t="str">
            <v>Borehole redevelopment</v>
          </cell>
          <cell r="BH131" t="str">
            <v>Goamu</v>
          </cell>
          <cell r="BI131" t="str">
            <v>Senwe</v>
          </cell>
          <cell r="BL131">
            <v>2015</v>
          </cell>
          <cell r="BQ131" t="str">
            <v>functional</v>
          </cell>
        </row>
        <row r="132">
          <cell r="A132" t="str">
            <v>qxer-u2v7-mcvm</v>
          </cell>
          <cell r="P132" t="str">
            <v>7.032267948735068</v>
          </cell>
          <cell r="Q132" t="str">
            <v>-2.7072584059075817</v>
          </cell>
          <cell r="U132" t="str">
            <v>Borehole</v>
          </cell>
          <cell r="V132" t="str">
            <v>Alex Gafel Premises</v>
          </cell>
          <cell r="W132" t="str">
            <v>Vergnet</v>
          </cell>
          <cell r="X132">
            <v>2012</v>
          </cell>
          <cell r="AB132" t="str">
            <v>Borehole redevelopment</v>
          </cell>
          <cell r="AJ132" t="str">
            <v>Yet to be Completed</v>
          </cell>
          <cell r="BH132" t="str">
            <v>Gambia</v>
          </cell>
          <cell r="BI132" t="str">
            <v>Agravi</v>
          </cell>
          <cell r="BL132">
            <v>2012</v>
          </cell>
          <cell r="BQ132" t="str">
            <v>not functional</v>
          </cell>
        </row>
        <row r="133">
          <cell r="A133" t="str">
            <v>r52g-vgr7-u6xb</v>
          </cell>
          <cell r="P133" t="str">
            <v>6.999756511480772</v>
          </cell>
          <cell r="Q133" t="str">
            <v>-2.486321015616352</v>
          </cell>
          <cell r="U133" t="str">
            <v>Borehole</v>
          </cell>
          <cell r="V133" t="str">
            <v>Adjacent The Mosque</v>
          </cell>
          <cell r="W133" t="str">
            <v>AfriDev</v>
          </cell>
          <cell r="X133">
            <v>2002</v>
          </cell>
          <cell r="AB133" t="str">
            <v>Borehole redevelopment</v>
          </cell>
          <cell r="BH133" t="str">
            <v>Goamu</v>
          </cell>
          <cell r="BI133" t="str">
            <v>Kojokrom</v>
          </cell>
          <cell r="BL133">
            <v>2015</v>
          </cell>
          <cell r="BQ133" t="str">
            <v>functional</v>
          </cell>
        </row>
        <row r="134">
          <cell r="A134" t="str">
            <v>r60e-aaq2-shgm</v>
          </cell>
          <cell r="P134" t="str">
            <v>6.918628099829584</v>
          </cell>
          <cell r="Q134" t="str">
            <v>-2.4042191711833443</v>
          </cell>
          <cell r="U134" t="str">
            <v>Borehole</v>
          </cell>
          <cell r="V134" t="str">
            <v>Agya Gjagadu' S Premises</v>
          </cell>
          <cell r="W134" t="str">
            <v>AfriDev</v>
          </cell>
          <cell r="X134">
            <v>2011</v>
          </cell>
          <cell r="AB134" t="str">
            <v>Borehole redevelopment</v>
          </cell>
          <cell r="BH134" t="str">
            <v>Kenyasi No.1</v>
          </cell>
          <cell r="BI134" t="str">
            <v>Agyeikrom</v>
          </cell>
          <cell r="BL134">
            <v>2016</v>
          </cell>
          <cell r="BQ134" t="str">
            <v>functional</v>
          </cell>
        </row>
        <row r="135">
          <cell r="A135" t="str">
            <v>rge6-tdk6-kb28</v>
          </cell>
          <cell r="P135" t="str">
            <v>7.113595894687654</v>
          </cell>
          <cell r="Q135" t="str">
            <v>-2.6258793546504897</v>
          </cell>
          <cell r="U135" t="str">
            <v>Borehole</v>
          </cell>
          <cell r="V135" t="str">
            <v>Nana Antwi Agyei's Coaco Farm</v>
          </cell>
          <cell r="W135" t="str">
            <v>AfriDev</v>
          </cell>
          <cell r="X135">
            <v>2003</v>
          </cell>
          <cell r="AB135" t="str">
            <v>Borehole redevelopment</v>
          </cell>
          <cell r="BH135" t="str">
            <v>Gambia</v>
          </cell>
          <cell r="BI135" t="str">
            <v>Yaw Basoa</v>
          </cell>
          <cell r="BL135">
            <v>2013</v>
          </cell>
          <cell r="BQ135" t="str">
            <v>functional</v>
          </cell>
        </row>
        <row r="136">
          <cell r="A136" t="str">
            <v>rx4q-0n7t-ch9n</v>
          </cell>
          <cell r="P136" t="str">
            <v>7.007558281470924</v>
          </cell>
          <cell r="Q136" t="str">
            <v>-2.474507360609421</v>
          </cell>
          <cell r="U136" t="str">
            <v>Hand dug well</v>
          </cell>
          <cell r="V136" t="str">
            <v>Few Meters From Kojo Konongo's House</v>
          </cell>
          <cell r="W136" t="str">
            <v>Nira AF-85</v>
          </cell>
          <cell r="X136">
            <v>2012</v>
          </cell>
          <cell r="AB136" t="str">
            <v>Borehole redevelopment</v>
          </cell>
          <cell r="BH136" t="str">
            <v>Goamu</v>
          </cell>
          <cell r="BI136" t="str">
            <v>Kojo Konongo</v>
          </cell>
          <cell r="BL136">
            <v>2016</v>
          </cell>
          <cell r="BQ136" t="str">
            <v>partially functional</v>
          </cell>
        </row>
        <row r="137">
          <cell r="A137" t="str">
            <v>s1xu-59ha-56gd</v>
          </cell>
          <cell r="P137" t="str">
            <v>7.062010212324652</v>
          </cell>
          <cell r="Q137" t="str">
            <v>-2.3125433205594312</v>
          </cell>
          <cell r="U137" t="str">
            <v>Borehole</v>
          </cell>
          <cell r="V137" t="str">
            <v>Police Quarters</v>
          </cell>
          <cell r="W137" t="str">
            <v>AfriDev</v>
          </cell>
          <cell r="X137">
            <v>2012</v>
          </cell>
          <cell r="AB137" t="str">
            <v>Borehole redevelopment</v>
          </cell>
          <cell r="BH137" t="str">
            <v>Ntotroso</v>
          </cell>
          <cell r="BI137" t="str">
            <v>Ntotroso</v>
          </cell>
          <cell r="BL137">
            <v>2012</v>
          </cell>
          <cell r="BQ137" t="str">
            <v>not functional</v>
          </cell>
        </row>
        <row r="138">
          <cell r="A138" t="str">
            <v>sfxq-hvq2-qkvm</v>
          </cell>
          <cell r="P138" t="str">
            <v>7.068996754526363</v>
          </cell>
          <cell r="Q138" t="str">
            <v>-2.4893331618218713</v>
          </cell>
          <cell r="U138" t="str">
            <v>Borehole</v>
          </cell>
          <cell r="V138" t="str">
            <v>Close To Agya Salifu's House.</v>
          </cell>
          <cell r="W138" t="str">
            <v>AfriDev</v>
          </cell>
          <cell r="X138">
            <v>2003</v>
          </cell>
          <cell r="AB138" t="str">
            <v>Borehole redevelopment</v>
          </cell>
          <cell r="BH138" t="str">
            <v>Goamu</v>
          </cell>
          <cell r="BI138" t="str">
            <v>Asamang-Goamu</v>
          </cell>
          <cell r="BL138">
            <v>2017</v>
          </cell>
          <cell r="BQ138" t="str">
            <v>functional</v>
          </cell>
        </row>
        <row r="139">
          <cell r="A139" t="str">
            <v>sm39-bd8j-cjbq</v>
          </cell>
          <cell r="P139" t="str">
            <v>7.08290049268346</v>
          </cell>
          <cell r="Q139" t="str">
            <v>-2.4258433324108375</v>
          </cell>
          <cell r="U139" t="str">
            <v>Borehole</v>
          </cell>
          <cell r="V139" t="str">
            <v>forest Ano wneneso 1</v>
          </cell>
          <cell r="W139" t="str">
            <v>AfriDev</v>
          </cell>
          <cell r="X139">
            <v>2014</v>
          </cell>
          <cell r="AB139" t="str">
            <v>Borehole redevelopment</v>
          </cell>
          <cell r="BH139" t="str">
            <v>GOAMU</v>
          </cell>
          <cell r="BI139" t="str">
            <v>GOAMU CAMP</v>
          </cell>
          <cell r="BL139">
            <v>2014</v>
          </cell>
          <cell r="BQ139" t="str">
            <v>functional</v>
          </cell>
        </row>
        <row r="140">
          <cell r="A140" t="str">
            <v>sqsg-a1g7-q977</v>
          </cell>
          <cell r="P140" t="str">
            <v>7.0256190215022505</v>
          </cell>
          <cell r="Q140" t="str">
            <v>-2.503002639039818</v>
          </cell>
          <cell r="U140" t="str">
            <v>Borehole</v>
          </cell>
          <cell r="V140" t="str">
            <v>Behind Mr. Osei's House</v>
          </cell>
          <cell r="W140" t="str">
            <v>AfriDev</v>
          </cell>
          <cell r="X140">
            <v>2007</v>
          </cell>
          <cell r="AB140" t="str">
            <v>Borehole redevelopment</v>
          </cell>
          <cell r="AJ140" t="str">
            <v>Handpump broken</v>
          </cell>
          <cell r="BH140" t="str">
            <v>Goamu</v>
          </cell>
          <cell r="BI140" t="str">
            <v>Goatifi</v>
          </cell>
          <cell r="BL140">
            <v>2017</v>
          </cell>
          <cell r="BQ140" t="str">
            <v>functional</v>
          </cell>
        </row>
        <row r="141">
          <cell r="A141" t="str">
            <v>svd2-f26q-t9s7</v>
          </cell>
          <cell r="P141" t="str">
            <v>7.10757799</v>
          </cell>
          <cell r="Q141" t="str">
            <v>-2.65365309</v>
          </cell>
          <cell r="U141" t="str">
            <v>Borehole</v>
          </cell>
          <cell r="V141" t="str">
            <v>About  200meters away from  Asoripaini junction right</v>
          </cell>
          <cell r="W141" t="str">
            <v>AfriDev</v>
          </cell>
          <cell r="X141">
            <v>2017</v>
          </cell>
          <cell r="AB141" t="str">
            <v>Borehole redevelopment</v>
          </cell>
          <cell r="BH141" t="str">
            <v>GAMBIA</v>
          </cell>
          <cell r="BI141" t="str">
            <v>NZONGOHENE AKURAA</v>
          </cell>
          <cell r="BL141">
            <v>2017</v>
          </cell>
          <cell r="BQ141" t="str">
            <v>functional</v>
          </cell>
        </row>
        <row r="142">
          <cell r="A142" t="str">
            <v>sx58-h98k-actu</v>
          </cell>
          <cell r="P142" t="str">
            <v>6.968528941651983</v>
          </cell>
          <cell r="Q142" t="str">
            <v>-2.3819048281751205</v>
          </cell>
          <cell r="U142" t="str">
            <v>Borehole</v>
          </cell>
          <cell r="V142" t="str">
            <v>NEAR Agya Opoku's House</v>
          </cell>
          <cell r="W142" t="str">
            <v>AfriDev</v>
          </cell>
          <cell r="X142">
            <v>2011</v>
          </cell>
          <cell r="AB142" t="str">
            <v>Borehole redevelopment</v>
          </cell>
          <cell r="AJ142" t="str">
            <v>facility under repair</v>
          </cell>
          <cell r="BH142" t="str">
            <v>Kenyasi No.1</v>
          </cell>
          <cell r="BI142" t="str">
            <v>Kenyasi No.1</v>
          </cell>
          <cell r="BL142">
            <v>2011</v>
          </cell>
          <cell r="BQ142" t="str">
            <v>not functional</v>
          </cell>
        </row>
        <row r="143">
          <cell r="A143" t="str">
            <v>sx88-66f6-n43</v>
          </cell>
          <cell r="P143" t="str">
            <v>7.052846534973265</v>
          </cell>
          <cell r="Q143" t="str">
            <v>-2.3985858955649357</v>
          </cell>
          <cell r="U143" t="str">
            <v>Borehole</v>
          </cell>
          <cell r="V143" t="str">
            <v>Near Adam Musa cocoa farm... ko</v>
          </cell>
          <cell r="W143" t="str">
            <v>AfriDev</v>
          </cell>
          <cell r="X143">
            <v>2016</v>
          </cell>
          <cell r="AB143" t="str">
            <v>Borehole redevelopment</v>
          </cell>
          <cell r="BH143" t="str">
            <v>KENYASI NO.2</v>
          </cell>
          <cell r="BI143" t="str">
            <v>KENYASI NO.2</v>
          </cell>
          <cell r="BL143">
            <v>2016</v>
          </cell>
          <cell r="BQ143" t="str">
            <v>functional</v>
          </cell>
        </row>
        <row r="144">
          <cell r="A144" t="str">
            <v>t986-q3dd-a54w</v>
          </cell>
          <cell r="P144" t="str">
            <v>7.01202808081861</v>
          </cell>
          <cell r="Q144" t="str">
            <v>-2.3701005862822675</v>
          </cell>
          <cell r="U144" t="str">
            <v>Borehole</v>
          </cell>
          <cell r="V144" t="str">
            <v>Near Awulekia Abansonba House</v>
          </cell>
          <cell r="W144" t="str">
            <v>AfriDev</v>
          </cell>
          <cell r="X144">
            <v>2010</v>
          </cell>
          <cell r="AB144" t="str">
            <v>Borehole redevelopment</v>
          </cell>
          <cell r="BH144" t="str">
            <v>KENYASI NO.2</v>
          </cell>
          <cell r="BI144" t="str">
            <v>KENYASI NO.2</v>
          </cell>
          <cell r="BL144">
            <v>2010</v>
          </cell>
          <cell r="BQ144" t="str">
            <v>functional</v>
          </cell>
        </row>
        <row r="145">
          <cell r="A145" t="str">
            <v>thj7-63dh-2um6</v>
          </cell>
          <cell r="P145" t="str">
            <v>7.017543219155269</v>
          </cell>
          <cell r="Q145" t="str">
            <v>-2.716813153369687</v>
          </cell>
          <cell r="U145" t="str">
            <v>Borehole</v>
          </cell>
          <cell r="V145" t="str">
            <v>Near Agya Peter's House</v>
          </cell>
          <cell r="W145" t="str">
            <v>AfriDev</v>
          </cell>
          <cell r="X145">
            <v>2003</v>
          </cell>
          <cell r="AB145" t="str">
            <v>Borehole redevelopment</v>
          </cell>
          <cell r="AJ145" t="str">
            <v>facility under repair</v>
          </cell>
          <cell r="BH145" t="str">
            <v>Gambia</v>
          </cell>
          <cell r="BI145" t="str">
            <v>Onyinase</v>
          </cell>
          <cell r="BL145">
            <v>2003</v>
          </cell>
          <cell r="BQ145" t="str">
            <v>functional</v>
          </cell>
        </row>
        <row r="146">
          <cell r="A146" t="str">
            <v>tk9e-1gjs-yh8k</v>
          </cell>
          <cell r="P146" t="str">
            <v>6.995987406298776</v>
          </cell>
          <cell r="Q146" t="str">
            <v>-2.351444442035275</v>
          </cell>
          <cell r="U146" t="str">
            <v>Borehole</v>
          </cell>
          <cell r="V146" t="str">
            <v>Under Tick Groof(Kantikan Village Dorma)</v>
          </cell>
          <cell r="W146" t="str">
            <v>AfriDev</v>
          </cell>
          <cell r="X146">
            <v>2010</v>
          </cell>
          <cell r="AB146" t="str">
            <v>Borehole redevelopment</v>
          </cell>
          <cell r="BH146" t="str">
            <v>Kenyasi No.1</v>
          </cell>
          <cell r="BI146" t="str">
            <v>Dormaa</v>
          </cell>
          <cell r="BL146">
            <v>2017</v>
          </cell>
          <cell r="BQ146" t="str">
            <v>functional</v>
          </cell>
        </row>
        <row r="147">
          <cell r="A147" t="str">
            <v>tr6m-62t8-da5q</v>
          </cell>
          <cell r="P147" t="str">
            <v>7.016435060674295</v>
          </cell>
          <cell r="Q147" t="str">
            <v>-2.37588256584834</v>
          </cell>
          <cell r="U147" t="str">
            <v>Borehole</v>
          </cell>
          <cell r="V147" t="str">
            <v>near yaro Grumas house</v>
          </cell>
          <cell r="W147" t="str">
            <v>AfriDev</v>
          </cell>
          <cell r="X147">
            <v>2016</v>
          </cell>
          <cell r="AB147" t="str">
            <v>Borehole redevelopment</v>
          </cell>
          <cell r="BH147" t="str">
            <v>KENYASI NO.2</v>
          </cell>
          <cell r="BI147" t="str">
            <v>YARO GRUMAKROM</v>
          </cell>
          <cell r="BL147">
            <v>2016</v>
          </cell>
          <cell r="BQ147" t="str">
            <v>functional</v>
          </cell>
        </row>
        <row r="148">
          <cell r="A148" t="str">
            <v>tx1w-fqac-k0y</v>
          </cell>
          <cell r="P148" t="str">
            <v>7.087664628038377</v>
          </cell>
          <cell r="Q148" t="str">
            <v>-2.3182876576275446</v>
          </cell>
          <cell r="U148" t="str">
            <v>Borehole</v>
          </cell>
          <cell r="V148" t="str">
            <v>Kofi Abanga's Premises</v>
          </cell>
          <cell r="W148" t="str">
            <v>AfriDev</v>
          </cell>
          <cell r="X148">
            <v>2011</v>
          </cell>
          <cell r="AB148" t="str">
            <v>Borehole redevelopment</v>
          </cell>
          <cell r="BH148" t="str">
            <v>Ntotroso</v>
          </cell>
          <cell r="BI148" t="str">
            <v>Esonyame Ye</v>
          </cell>
          <cell r="BL148">
            <v>2014</v>
          </cell>
          <cell r="BQ148" t="str">
            <v>functional</v>
          </cell>
        </row>
        <row r="149">
          <cell r="A149" t="str">
            <v>u9c9-e6nc-gtdr</v>
          </cell>
          <cell r="P149" t="str">
            <v>6.965808921125291</v>
          </cell>
          <cell r="Q149" t="str">
            <v>-2.43622400010958</v>
          </cell>
          <cell r="U149" t="str">
            <v>Borehole</v>
          </cell>
          <cell r="V149" t="str">
            <v>Infront Of The Cocoa Shed</v>
          </cell>
          <cell r="W149" t="str">
            <v>AfriDev</v>
          </cell>
          <cell r="X149">
            <v>1987</v>
          </cell>
          <cell r="AB149" t="str">
            <v>Borehole redevelopment</v>
          </cell>
          <cell r="BH149" t="str">
            <v>Kenyasi No.1</v>
          </cell>
          <cell r="BI149" t="str">
            <v>Adukrom</v>
          </cell>
          <cell r="BL149">
            <v>2017</v>
          </cell>
          <cell r="BQ149" t="str">
            <v>functional</v>
          </cell>
        </row>
        <row r="150">
          <cell r="A150" t="str">
            <v>uyfg-uec9-q2d8</v>
          </cell>
          <cell r="P150" t="str">
            <v>6.988290746895873</v>
          </cell>
          <cell r="Q150" t="str">
            <v>-2.5616959194029985</v>
          </cell>
          <cell r="U150" t="str">
            <v>Borehole</v>
          </cell>
          <cell r="V150" t="str">
            <v>At The Pooling Station</v>
          </cell>
          <cell r="W150" t="str">
            <v>AfriDev</v>
          </cell>
          <cell r="X150">
            <v>2009</v>
          </cell>
          <cell r="AB150" t="str">
            <v>Borehole redevelopment</v>
          </cell>
          <cell r="BH150" t="str">
            <v>Goamu</v>
          </cell>
          <cell r="BI150" t="str">
            <v>Aboagyaa</v>
          </cell>
          <cell r="BL150">
            <v>2009</v>
          </cell>
          <cell r="BQ150" t="str">
            <v>partially functional</v>
          </cell>
        </row>
        <row r="151">
          <cell r="A151" t="str">
            <v>uywb-8d7f-dm4f</v>
          </cell>
          <cell r="P151" t="str">
            <v>7.036684951361598</v>
          </cell>
          <cell r="Q151" t="str">
            <v>-2.6383593632754807</v>
          </cell>
          <cell r="U151" t="str">
            <v>Borehole</v>
          </cell>
          <cell r="V151" t="str">
            <v>Along The Road To The Health Centre</v>
          </cell>
          <cell r="W151" t="str">
            <v>AfriDev</v>
          </cell>
          <cell r="X151">
            <v>1985</v>
          </cell>
          <cell r="AB151" t="str">
            <v>Borehole redevelopment</v>
          </cell>
          <cell r="BH151" t="str">
            <v>Gambia</v>
          </cell>
          <cell r="BI151" t="str">
            <v>Gambia No.1</v>
          </cell>
          <cell r="BL151">
            <v>2014</v>
          </cell>
          <cell r="BQ151" t="str">
            <v>functional</v>
          </cell>
        </row>
        <row r="152">
          <cell r="A152" t="str">
            <v>v2d6-4hyj-wcne</v>
          </cell>
          <cell r="P152" t="str">
            <v>7.043206235963238</v>
          </cell>
          <cell r="Q152" t="str">
            <v>-2.3976723180503137</v>
          </cell>
          <cell r="U152" t="str">
            <v>Borehole</v>
          </cell>
          <cell r="V152" t="str">
            <v>D/A School Premises</v>
          </cell>
          <cell r="W152" t="str">
            <v>AfriDev</v>
          </cell>
          <cell r="X152">
            <v>2011</v>
          </cell>
          <cell r="AB152" t="str">
            <v>Borehole redevelopment</v>
          </cell>
          <cell r="BH152" t="str">
            <v>Kenyasi No.2</v>
          </cell>
          <cell r="BI152" t="str">
            <v>Dokyikrom</v>
          </cell>
          <cell r="BL152">
            <v>2014</v>
          </cell>
          <cell r="BQ152" t="str">
            <v>not functional</v>
          </cell>
        </row>
        <row r="153">
          <cell r="A153" t="str">
            <v>v8cu-10uq-shw4</v>
          </cell>
          <cell r="P153" t="str">
            <v>6.974042787308343</v>
          </cell>
          <cell r="Q153" t="str">
            <v>-2.44353350391701</v>
          </cell>
          <cell r="U153" t="str">
            <v>Borehole</v>
          </cell>
          <cell r="V153" t="str">
            <v>Close To Agya Adusei House</v>
          </cell>
          <cell r="W153" t="str">
            <v>AfriDev</v>
          </cell>
          <cell r="X153">
            <v>2012</v>
          </cell>
          <cell r="AB153" t="str">
            <v>Borehole redevelopment</v>
          </cell>
          <cell r="BH153" t="str">
            <v>Kenyasi No.1</v>
          </cell>
          <cell r="BI153" t="str">
            <v>Agya Adusei Akuraa</v>
          </cell>
          <cell r="BL153">
            <v>2017</v>
          </cell>
          <cell r="BQ153" t="str">
            <v>functional</v>
          </cell>
        </row>
        <row r="154">
          <cell r="A154" t="str">
            <v>vaw6-q3hb-gjsf</v>
          </cell>
          <cell r="P154" t="str">
            <v>7.070687644459433</v>
          </cell>
          <cell r="Q154" t="str">
            <v>-2.489236632598726</v>
          </cell>
          <cell r="U154" t="str">
            <v>Borehole</v>
          </cell>
          <cell r="V154" t="str">
            <v>Close To Nana Kwaku Agen'sHouse.</v>
          </cell>
          <cell r="W154" t="str">
            <v>AfriDev</v>
          </cell>
          <cell r="X154">
            <v>2012</v>
          </cell>
          <cell r="AB154" t="str">
            <v>Borehole redevelopment</v>
          </cell>
          <cell r="BH154" t="str">
            <v>Goamu</v>
          </cell>
          <cell r="BI154" t="str">
            <v>Asamang-Goamu</v>
          </cell>
          <cell r="BL154">
            <v>2014</v>
          </cell>
          <cell r="BQ154" t="str">
            <v>not functional</v>
          </cell>
        </row>
        <row r="155">
          <cell r="A155" t="str">
            <v>vbr2-6qqn-52ry</v>
          </cell>
          <cell r="P155" t="str">
            <v>7.077508145846655</v>
          </cell>
          <cell r="Q155" t="str">
            <v>-2.7465499183615063</v>
          </cell>
          <cell r="U155" t="str">
            <v>Borehole</v>
          </cell>
          <cell r="V155" t="str">
            <v>Near The Ordikrus House</v>
          </cell>
          <cell r="W155" t="str">
            <v>AfriDev</v>
          </cell>
          <cell r="X155">
            <v>2003</v>
          </cell>
          <cell r="AB155" t="str">
            <v>Borehole redevelopment</v>
          </cell>
          <cell r="BH155" t="str">
            <v>Gambia</v>
          </cell>
          <cell r="BI155" t="str">
            <v>Biaso Kasapin</v>
          </cell>
          <cell r="BL155">
            <v>2005</v>
          </cell>
          <cell r="BQ155" t="str">
            <v>functional</v>
          </cell>
        </row>
        <row r="156">
          <cell r="A156" t="str">
            <v>vf6n-6ypr-b41u</v>
          </cell>
          <cell r="P156" t="str">
            <v>6.9858580240903585</v>
          </cell>
          <cell r="Q156" t="str">
            <v>-2.390425455889815</v>
          </cell>
          <cell r="U156" t="str">
            <v>Borehole</v>
          </cell>
          <cell r="V156" t="str">
            <v>near Adowa nsoah bakery...Jerrcho</v>
          </cell>
          <cell r="W156" t="str">
            <v>AfriDev</v>
          </cell>
          <cell r="X156">
            <v>2011</v>
          </cell>
          <cell r="AB156" t="str">
            <v>Borehole redevelopment</v>
          </cell>
          <cell r="BH156" t="str">
            <v>KENYASI NO.2</v>
          </cell>
          <cell r="BI156" t="str">
            <v>KENYASI NO.2</v>
          </cell>
          <cell r="BL156">
            <v>2016</v>
          </cell>
          <cell r="BQ156" t="str">
            <v>functional</v>
          </cell>
        </row>
        <row r="157">
          <cell r="A157" t="str">
            <v>vh48-pamt-phqe</v>
          </cell>
          <cell r="P157" t="str">
            <v>7.062417459838211</v>
          </cell>
          <cell r="Q157" t="str">
            <v>-2.381717706547168</v>
          </cell>
          <cell r="U157" t="str">
            <v>Borehole</v>
          </cell>
          <cell r="V157" t="str">
            <v>Aunti Tabi's CoacoFarm</v>
          </cell>
          <cell r="W157" t="str">
            <v>AfriDev</v>
          </cell>
          <cell r="X157">
            <v>2009</v>
          </cell>
          <cell r="AB157" t="str">
            <v>Borehole redevelopment</v>
          </cell>
          <cell r="BH157" t="str">
            <v>Kenyasi No.2</v>
          </cell>
          <cell r="BI157" t="str">
            <v>Osmanikrom</v>
          </cell>
          <cell r="BL157">
            <v>2017</v>
          </cell>
          <cell r="BQ157" t="str">
            <v>partially functional</v>
          </cell>
        </row>
        <row r="158">
          <cell r="A158" t="str">
            <v>vkt9-q8rr-7pgq</v>
          </cell>
          <cell r="P158" t="str">
            <v>7.067718627113017</v>
          </cell>
          <cell r="Q158" t="str">
            <v>-2.3776020628018983</v>
          </cell>
          <cell r="U158" t="str">
            <v>Borehole</v>
          </cell>
          <cell r="V158" t="str">
            <v>Near Mr. Kwaku Twumasi's Cocoa Farm</v>
          </cell>
          <cell r="W158" t="str">
            <v>AfriDev</v>
          </cell>
          <cell r="X158">
            <v>2012</v>
          </cell>
          <cell r="AB158" t="str">
            <v>Borehole redevelopment</v>
          </cell>
          <cell r="BH158" t="str">
            <v>Kenyasi No.2</v>
          </cell>
          <cell r="BI158" t="str">
            <v>Yawusukrom</v>
          </cell>
          <cell r="BL158">
            <v>2017</v>
          </cell>
          <cell r="BQ158" t="str">
            <v>functional</v>
          </cell>
        </row>
        <row r="159">
          <cell r="A159" t="str">
            <v>vs1j-uc20-yb4d</v>
          </cell>
          <cell r="P159" t="str">
            <v>7.124599288977343</v>
          </cell>
          <cell r="Q159" t="str">
            <v>-2.3176632736550244</v>
          </cell>
          <cell r="U159" t="str">
            <v>Borehole</v>
          </cell>
          <cell r="V159" t="str">
            <v>Just By The Roadside</v>
          </cell>
          <cell r="W159" t="str">
            <v>AfriDev</v>
          </cell>
          <cell r="X159">
            <v>2014</v>
          </cell>
          <cell r="AB159" t="str">
            <v>Borehole redevelopment</v>
          </cell>
          <cell r="BH159" t="str">
            <v>Ntotroso</v>
          </cell>
          <cell r="BI159" t="str">
            <v>Pokukrom</v>
          </cell>
          <cell r="BL159">
            <v>2014</v>
          </cell>
          <cell r="BQ159" t="str">
            <v>functional</v>
          </cell>
        </row>
        <row r="160">
          <cell r="A160" t="str">
            <v>w8m7-35gy-kyc8</v>
          </cell>
          <cell r="P160" t="str">
            <v>6.991774620265862</v>
          </cell>
          <cell r="Q160" t="str">
            <v>-2.5365225442085073</v>
          </cell>
          <cell r="U160" t="str">
            <v>Borehole</v>
          </cell>
          <cell r="V160" t="str">
            <v>Close To The Roman Catholic Church</v>
          </cell>
          <cell r="W160" t="str">
            <v>AfriDev</v>
          </cell>
          <cell r="X160">
            <v>1987</v>
          </cell>
          <cell r="AB160" t="str">
            <v>Borehole redevelopment</v>
          </cell>
          <cell r="BH160" t="str">
            <v>Goamu</v>
          </cell>
          <cell r="BI160" t="str">
            <v>Kensere</v>
          </cell>
          <cell r="BL160">
            <v>2014</v>
          </cell>
          <cell r="BQ160" t="str">
            <v>functional</v>
          </cell>
        </row>
        <row r="161">
          <cell r="A161" t="str">
            <v>w9eh-sb4x-bnrf</v>
          </cell>
          <cell r="P161" t="str">
            <v>7.020415042203567</v>
          </cell>
          <cell r="Q161" t="str">
            <v>-2.5218683398175075</v>
          </cell>
          <cell r="U161" t="str">
            <v>Borehole</v>
          </cell>
          <cell r="V161" t="str">
            <v>along kensere Goamu road</v>
          </cell>
          <cell r="W161" t="str">
            <v>Nira AF-85</v>
          </cell>
          <cell r="X161">
            <v>2008</v>
          </cell>
          <cell r="AB161" t="str">
            <v>Borehole redevelopment</v>
          </cell>
          <cell r="AJ161" t="str">
            <v>Handpump broken</v>
          </cell>
          <cell r="BH161" t="str">
            <v>GOAMU</v>
          </cell>
          <cell r="BI161" t="str">
            <v>DAHAMANO</v>
          </cell>
          <cell r="BL161">
            <v>2012</v>
          </cell>
          <cell r="BQ161" t="str">
            <v>not functional</v>
          </cell>
        </row>
        <row r="162">
          <cell r="A162" t="str">
            <v>wahf-6gfg-egv1</v>
          </cell>
          <cell r="P162" t="str">
            <v>6.975537298863611</v>
          </cell>
          <cell r="Q162" t="str">
            <v>-2.466014302812393</v>
          </cell>
          <cell r="U162" t="str">
            <v>Hand dug well</v>
          </cell>
          <cell r="V162" t="str">
            <v>Last Stop</v>
          </cell>
          <cell r="W162" t="str">
            <v>Nira AF-85</v>
          </cell>
          <cell r="X162">
            <v>2006</v>
          </cell>
          <cell r="AB162" t="str">
            <v>Borehole redevelopment</v>
          </cell>
          <cell r="BH162" t="str">
            <v>Kenyasi No.1</v>
          </cell>
          <cell r="BI162" t="str">
            <v>Bogyampa</v>
          </cell>
          <cell r="BL162">
            <v>2014</v>
          </cell>
          <cell r="BQ162" t="str">
            <v>not functional</v>
          </cell>
        </row>
        <row r="163">
          <cell r="A163" t="str">
            <v>wsmf-ge91-a0at</v>
          </cell>
          <cell r="P163" t="str">
            <v>7.056105079094976</v>
          </cell>
          <cell r="Q163" t="str">
            <v>-2.3270463337118543</v>
          </cell>
          <cell r="U163" t="str">
            <v>Borehole</v>
          </cell>
          <cell r="V163" t="str">
            <v>Resettement Water Board Office</v>
          </cell>
          <cell r="W163" t="str">
            <v>AfriDev</v>
          </cell>
          <cell r="X163">
            <v>2007</v>
          </cell>
          <cell r="AB163" t="str">
            <v>Borehole redevelopment</v>
          </cell>
          <cell r="BH163" t="str">
            <v>Ntotroso</v>
          </cell>
          <cell r="BI163" t="str">
            <v>Ntotroso Resettlement</v>
          </cell>
          <cell r="BL163">
            <v>2007</v>
          </cell>
          <cell r="BQ163" t="str">
            <v>functional</v>
          </cell>
        </row>
        <row r="164">
          <cell r="A164" t="str">
            <v>wtsr-pmg2-pxtq</v>
          </cell>
          <cell r="P164" t="str">
            <v>7.032659564403245</v>
          </cell>
          <cell r="Q164" t="str">
            <v>-2.7269217634801843</v>
          </cell>
          <cell r="U164" t="str">
            <v>Borehole</v>
          </cell>
          <cell r="V164" t="str">
            <v>Back Of Health Centre</v>
          </cell>
          <cell r="W164" t="str">
            <v>AfriDev</v>
          </cell>
          <cell r="X164">
            <v>2012</v>
          </cell>
          <cell r="AB164" t="str">
            <v>Borehole redevelopment</v>
          </cell>
          <cell r="BH164" t="str">
            <v>Gambia</v>
          </cell>
          <cell r="BI164" t="str">
            <v>Krakyekrom</v>
          </cell>
          <cell r="BL164">
            <v>2014</v>
          </cell>
          <cell r="BQ164" t="str">
            <v>not functional</v>
          </cell>
        </row>
        <row r="165">
          <cell r="A165" t="str">
            <v>xen1-pmqc-pn4f</v>
          </cell>
          <cell r="P165" t="str">
            <v>7.071215128443168</v>
          </cell>
          <cell r="Q165" t="str">
            <v>-2.4393673541254164</v>
          </cell>
          <cell r="U165" t="str">
            <v>Borehole</v>
          </cell>
          <cell r="V165" t="str">
            <v>Along Kromokrom Road</v>
          </cell>
          <cell r="W165" t="str">
            <v>Solar Pump</v>
          </cell>
          <cell r="X165">
            <v>2013</v>
          </cell>
          <cell r="AB165" t="str">
            <v>Borehole redevelopment</v>
          </cell>
          <cell r="BH165" t="str">
            <v>Ntotroso</v>
          </cell>
          <cell r="BI165" t="str">
            <v>Osei Yaw</v>
          </cell>
          <cell r="BL165">
            <v>2013</v>
          </cell>
          <cell r="BQ165" t="str">
            <v>functional</v>
          </cell>
        </row>
        <row r="166">
          <cell r="A166" t="str">
            <v>xrp8-fub1-ep9j</v>
          </cell>
          <cell r="P166" t="str">
            <v>7.052348496998605</v>
          </cell>
          <cell r="Q166" t="str">
            <v>-2.741902939743086</v>
          </cell>
          <cell r="U166" t="str">
            <v>Borehole</v>
          </cell>
          <cell r="V166" t="str">
            <v>Near Nana Kwabena Afo'House</v>
          </cell>
          <cell r="W166" t="str">
            <v>AfriDev</v>
          </cell>
          <cell r="X166">
            <v>2004</v>
          </cell>
          <cell r="AB166" t="str">
            <v>Borehole redevelopment</v>
          </cell>
          <cell r="BH166" t="str">
            <v>Gambia</v>
          </cell>
          <cell r="BI166" t="str">
            <v>Kwabena Afo</v>
          </cell>
          <cell r="BL166">
            <v>2004</v>
          </cell>
          <cell r="BQ166" t="str">
            <v>partially functional</v>
          </cell>
        </row>
        <row r="167">
          <cell r="A167" t="str">
            <v>xtxe-v5gy-re7h</v>
          </cell>
          <cell r="P167" t="str">
            <v>6.994859699918001</v>
          </cell>
          <cell r="Q167" t="str">
            <v>-2.4669153458985464</v>
          </cell>
          <cell r="U167" t="str">
            <v>Hand dug well</v>
          </cell>
          <cell r="V167" t="str">
            <v>Close To Seth Krom</v>
          </cell>
          <cell r="W167" t="str">
            <v>Nira AF-85</v>
          </cell>
          <cell r="X167">
            <v>2012</v>
          </cell>
          <cell r="AB167" t="str">
            <v>Borehole redevelopment</v>
          </cell>
          <cell r="BH167" t="str">
            <v>Goamu</v>
          </cell>
          <cell r="BI167" t="str">
            <v>Ama Agyemangkrom</v>
          </cell>
          <cell r="BL167">
            <v>2016</v>
          </cell>
          <cell r="BQ167" t="str">
            <v>functional</v>
          </cell>
        </row>
        <row r="168">
          <cell r="A168" t="str">
            <v>ydn4-xtfy-6kqb</v>
          </cell>
          <cell r="P168" t="str">
            <v>7.0541087863276815</v>
          </cell>
          <cell r="Q168" t="str">
            <v>-2.3708453489407337</v>
          </cell>
          <cell r="U168" t="str">
            <v>Borehole</v>
          </cell>
          <cell r="V168" t="str">
            <v>Tankhun Junction</v>
          </cell>
          <cell r="W168" t="str">
            <v>AfriDev</v>
          </cell>
          <cell r="X168">
            <v>2009</v>
          </cell>
          <cell r="AB168" t="str">
            <v>Borehole redevelopment</v>
          </cell>
          <cell r="BH168" t="str">
            <v>Kenyasi No.2</v>
          </cell>
          <cell r="BI168" t="str">
            <v>Tankhun</v>
          </cell>
          <cell r="BL168">
            <v>2009</v>
          </cell>
          <cell r="BQ168" t="str">
            <v>No repeat</v>
          </cell>
        </row>
        <row r="169">
          <cell r="A169" t="str">
            <v>yua6-d4v9-53k8</v>
          </cell>
          <cell r="P169" t="str">
            <v>6.97452097214253</v>
          </cell>
          <cell r="Q169" t="str">
            <v>-2.4648355820421184</v>
          </cell>
          <cell r="U169" t="str">
            <v>Borehole</v>
          </cell>
          <cell r="V169" t="str">
            <v>Infront Of The Cocoa Shed</v>
          </cell>
          <cell r="W169" t="str">
            <v>AfriDev</v>
          </cell>
          <cell r="X169">
            <v>1987</v>
          </cell>
          <cell r="AB169" t="str">
            <v>Borehole redevelopment</v>
          </cell>
          <cell r="BH169" t="str">
            <v>Kenyasi No.1</v>
          </cell>
          <cell r="BI169" t="str">
            <v>Bogyampa</v>
          </cell>
          <cell r="BL169">
            <v>2015</v>
          </cell>
          <cell r="BQ169" t="str">
            <v>functional</v>
          </cell>
        </row>
      </sheetData>
      <sheetData sheetId="2"/>
      <sheetData sheetId="3">
        <row r="17">
          <cell r="B17">
            <v>2017</v>
          </cell>
          <cell r="C17" t="str">
            <v>Item</v>
          </cell>
          <cell r="D17" t="str">
            <v>Expected useful life</v>
          </cell>
          <cell r="E17" t="str">
            <v>current cost</v>
          </cell>
        </row>
        <row r="18">
          <cell r="C18" t="str">
            <v>AfriDev</v>
          </cell>
          <cell r="D18">
            <v>20</v>
          </cell>
          <cell r="E18">
            <v>400</v>
          </cell>
        </row>
        <row r="19">
          <cell r="C19" t="str">
            <v>Borehole</v>
          </cell>
          <cell r="D19">
            <v>30</v>
          </cell>
          <cell r="E19">
            <v>11000</v>
          </cell>
        </row>
        <row r="20">
          <cell r="C20" t="str">
            <v>Borehole redevelopment</v>
          </cell>
          <cell r="D20">
            <v>15</v>
          </cell>
          <cell r="E20">
            <v>3666.6666666666665</v>
          </cell>
        </row>
        <row r="21">
          <cell r="C21" t="str">
            <v>Ghana modified India Mark II</v>
          </cell>
          <cell r="D21">
            <v>20</v>
          </cell>
          <cell r="E21">
            <v>400</v>
          </cell>
        </row>
        <row r="22">
          <cell r="C22" t="str">
            <v>Hand Dug well</v>
          </cell>
          <cell r="D22">
            <v>15</v>
          </cell>
          <cell r="E22">
            <v>5000</v>
          </cell>
        </row>
        <row r="23">
          <cell r="C23" t="str">
            <v>Handpump</v>
          </cell>
          <cell r="D23">
            <v>20</v>
          </cell>
          <cell r="E23">
            <v>400</v>
          </cell>
        </row>
        <row r="24">
          <cell r="C24" t="str">
            <v>Nira AF-85</v>
          </cell>
          <cell r="D24">
            <v>20</v>
          </cell>
          <cell r="E24">
            <v>400</v>
          </cell>
        </row>
        <row r="25">
          <cell r="C25" t="str">
            <v>Platform</v>
          </cell>
          <cell r="D25">
            <v>10</v>
          </cell>
          <cell r="E25">
            <v>1500</v>
          </cell>
        </row>
        <row r="26">
          <cell r="C26" t="str">
            <v>Solar pump</v>
          </cell>
          <cell r="D26">
            <v>10</v>
          </cell>
          <cell r="E26">
            <v>400</v>
          </cell>
        </row>
        <row r="27">
          <cell r="C27" t="str">
            <v>Vergnet</v>
          </cell>
          <cell r="D27">
            <v>20</v>
          </cell>
          <cell r="E27">
            <v>400</v>
          </cell>
        </row>
      </sheetData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able1" displayName="Table1" ref="A7:CC173" totalsRowShown="0" headerRowDxfId="209" dataDxfId="208">
  <autoFilter ref="A7:CC173"/>
  <tableColumns count="81">
    <tableColumn id="1" name="Identifier" dataDxfId="207">
      <calculatedColumnFormula>IF([1]Input_monitoring_data!A4="","",[1]Input_monitoring_data!A4)</calculatedColumnFormula>
    </tableColumn>
    <tableColumn id="2" name="area council name" dataDxfId="206">
      <calculatedColumnFormula>[1]Input_monitoring_data!BH4</calculatedColumnFormula>
    </tableColumn>
    <tableColumn id="3" name="Community Name" dataDxfId="205">
      <calculatedColumnFormula>[1]Input_monitoring_data!BI4</calculatedColumnFormula>
    </tableColumn>
    <tableColumn id="4" name="Lat" dataDxfId="204">
      <calculatedColumnFormula>[1]Input_monitoring_data!P4</calculatedColumnFormula>
    </tableColumn>
    <tableColumn id="5" name="Long" dataDxfId="203">
      <calculatedColumnFormula>[1]Input_monitoring_data!Q4</calculatedColumnFormula>
    </tableColumn>
    <tableColumn id="6" name="Loc_Description" dataDxfId="202">
      <calculatedColumnFormula>[1]Input_monitoring_data!V4</calculatedColumnFormula>
    </tableColumn>
    <tableColumn id="7" name="Item_Well" dataDxfId="201">
      <calculatedColumnFormula>[1]Input_monitoring_data!U4</calculatedColumnFormula>
    </tableColumn>
    <tableColumn id="8" name="Year Installed_WL" dataDxfId="200">
      <calculatedColumnFormula>[1]Input_monitoring_data!X4</calculatedColumnFormula>
    </tableColumn>
    <tableColumn id="9" name="Item_Rehab_WL" dataDxfId="199">
      <calculatedColumnFormula>[1]Input_monitoring_data!AB4</calculatedColumnFormula>
    </tableColumn>
    <tableColumn id="10" name="Year Last_Rehab_WL " dataDxfId="198">
      <calculatedColumnFormula>[1]Input_monitoring_data!AC4</calculatedColumnFormula>
    </tableColumn>
    <tableColumn id="12" name="Item_Handpump" dataDxfId="197">
      <calculatedColumnFormula>[1]Input_monitoring_data!W4</calculatedColumnFormula>
    </tableColumn>
    <tableColumn id="13" name="Year Installed_HP" dataDxfId="196">
      <calculatedColumnFormula>[1]Input_monitoring_data!X4</calculatedColumnFormula>
    </tableColumn>
    <tableColumn id="14" name="Year Last_Rehab_HP" dataDxfId="195">
      <calculatedColumnFormula>IF([1]Input_monitoring_data!BL4&gt;'Point Sources_Asset_Register_'!L8,[1]Input_monitoring_data!BL4,"")</calculatedColumnFormula>
    </tableColumn>
    <tableColumn id="15" name="HP_Functionality " dataDxfId="194">
      <calculatedColumnFormula>[1]Input_monitoring_data!BQ4</calculatedColumnFormula>
    </tableColumn>
    <tableColumn id="16" name="Reason non functionality" dataDxfId="193">
      <calculatedColumnFormula>[1]Input_monitoring_data!AJ4</calculatedColumnFormula>
    </tableColumn>
    <tableColumn id="17" name="Item_Platform" dataDxfId="192"/>
    <tableColumn id="18" name="Year Installed_PF" dataDxfId="191">
      <calculatedColumnFormula>L8</calculatedColumnFormula>
    </tableColumn>
    <tableColumn id="19" name="Year Last_Rehab_PF" dataDxfId="190">
      <calculatedColumnFormula>M8</calculatedColumnFormula>
    </tableColumn>
    <tableColumn id="21" name="Current Age_Well" dataDxfId="189">
      <calculatedColumnFormula>[1]Input_EUL_CRC_ERC!$B$17-Table1[[#This Row],[Year Installed_WL]]</calculatedColumnFormula>
    </tableColumn>
    <tableColumn id="11" name="Last Rehab Age" dataDxfId="188">
      <calculatedColumnFormula>[1]Input_EUL_CRC_ERC!$B$17-(IF(Table1[[#This Row],[Year Last_Rehab_WL ]]=0,Table1[[#This Row],[Year Installed_WL]],[1]Input_EUL_CRC_ERC!$B$17-Table1[[#This Row],[Year Last_Rehab_WL ]]))</calculatedColumnFormula>
    </tableColumn>
    <tableColumn id="22" name="Years_Next_Rehab_Well" dataDxfId="187">
      <calculatedColumnFormula>(VLOOKUP(Table1[[#This Row],[Item_Rehab_WL]],[1]Input_EUL_CRC_ERC!$C$17:$E$27,2,FALSE)-Table1[[#This Row],[Last Rehab Age]])</calculatedColumnFormula>
    </tableColumn>
    <tableColumn id="38" name="Current Age_Handpump" dataDxfId="186">
      <calculatedColumnFormula>[1]Input_EUL_CRC_ERC!$B$17-Table1[[#This Row],[Year Installed_HP]]</calculatedColumnFormula>
    </tableColumn>
    <tableColumn id="39" name="Adjusted_ULife_HP" dataDxfId="185">
      <calculatedColumnFormula>(VLOOKUP(Table1[[#This Row],[Item_Handpump]],[1]!Table2[#All],2,FALSE))-(IF(Table1[[#This Row],[Year Last_Rehab_HP]]="",Table1[[#This Row],[Current Age_Handpump]],[1]Input_EUL_CRC_ERC!$B$17-Table1[[#This Row],[Year Last_Rehab_HP]]))</calculatedColumnFormula>
    </tableColumn>
    <tableColumn id="83" name="Current Age_Platform" dataDxfId="184">
      <calculatedColumnFormula>[1]Input_EUL_CRC_ERC!$B$17-Table1[[#This Row],[Year Installed_PF]]</calculatedColumnFormula>
    </tableColumn>
    <tableColumn id="82" name="Adjusted_ULife_PF" dataDxfId="183">
      <calculatedColumnFormula>(VLOOKUP(Table1[[#This Row],[Item_Platform]],[1]!Table2[#All],2,FALSE))-(IF(Table1[[#This Row],[Year Last_Rehab_PF]]="",Table1[[#This Row],[Current Age_Platform]],[1]Input_EUL_CRC_ERC!$B$17-Table1[[#This Row],[Year Last_Rehab_PF]]))</calculatedColumnFormula>
    </tableColumn>
    <tableColumn id="23" name="current yr_wl" dataDxfId="182" dataCellStyle="Comma">
      <calculatedColumnFormula>IF(Table1[[#This Row],[Years_Next_Rehab_Well]]&lt;=0,VLOOKUP(Table1[[#This Row],[Item_Rehab_WL]],[1]!Table2[#All],3,FALSE),0)</calculatedColumnFormula>
    </tableColumn>
    <tableColumn id="41" name="current yr_hp" dataDxfId="181" dataCellStyle="Comma">
      <calculatedColumnFormula>IF(Table1[[#This Row],[Adjusted_ULife_HP]]&lt;=0,VLOOKUP(Table1[[#This Row],[Item_Handpump]],[1]!Table2[#All],3,FALSE),0)</calculatedColumnFormula>
    </tableColumn>
    <tableColumn id="40" name="current yr_pf" dataDxfId="180" dataCellStyle="Comma">
      <calculatedColumnFormula>IF(Table1[[#This Row],[Adjusted_ULife_PF]]&lt;=0,VLOOKUP(Table1[[#This Row],[Item_Platform]],[1]!Table2[#All],3,FALSE),0)</calculatedColumnFormula>
    </tableColumn>
    <tableColumn id="54" name="current yr_total" dataDxfId="179" dataCellStyle="Comma">
      <calculatedColumnFormula>SUM(Table1[[#This Row],[current yr_wl]:[current yr_pf]])</calculatedColumnFormula>
    </tableColumn>
    <tableColumn id="43" name="yr 1_wl" dataDxfId="178">
      <calculatedColumnFormula>IF(Table1[[#This Row],[Years_Next_Rehab_Well]]=1,VLOOKUP(Table1[[#This Row],[Item_Rehab_WL]],[1]!Table2[#All],4,FALSE),0)</calculatedColumnFormula>
    </tableColumn>
    <tableColumn id="42" name="yr 1_hp" dataDxfId="177">
      <calculatedColumnFormula>IF(Table1[[#This Row],[Adjusted_ULife_HP]]=1,VLOOKUP(Table1[[#This Row],[Item_Handpump]],[1]!Table2[#All],4,FALSE),0)</calculatedColumnFormula>
    </tableColumn>
    <tableColumn id="24" name="yr 1_pf" dataDxfId="176">
      <calculatedColumnFormula>IF(Table1[[#This Row],[Adjusted_ULife_PF]]=1,VLOOKUP(Table1[[#This Row],[Item_Platform]],[1]!Table2[#All],4,FALSE),0)</calculatedColumnFormula>
    </tableColumn>
    <tableColumn id="53" name="yr 1_total" dataDxfId="175">
      <calculatedColumnFormula>SUM(Table1[[#This Row],[yr 1_wl]:[yr 1_pf]])</calculatedColumnFormula>
    </tableColumn>
    <tableColumn id="25" name="yr 2_wl" dataDxfId="174">
      <calculatedColumnFormula>IF(Table1[[#This Row],[Years_Next_Rehab_Well]]=2,VLOOKUP(Table1[[#This Row],[Item_Rehab_WL]],[1]!Table2[#All],5,FALSE),0)</calculatedColumnFormula>
    </tableColumn>
    <tableColumn id="26" name="yr 2_hp" dataDxfId="173">
      <calculatedColumnFormula>IF(Table1[[#This Row],[Adjusted_ULife_HP]]=2,VLOOKUP(Table1[[#This Row],[Item_Handpump]],[1]!Table2[#All],5,FALSE),0)</calculatedColumnFormula>
    </tableColumn>
    <tableColumn id="27" name="yr 2_pf" dataDxfId="172">
      <calculatedColumnFormula>IF(Table1[[#This Row],[Adjusted_ULife_PF]]=2,VLOOKUP(Table1[[#This Row],[Item_Platform]],[1]!Table2[#All],5,FALSE),0)</calculatedColumnFormula>
    </tableColumn>
    <tableColumn id="52" name="yr 2_total" dataDxfId="171">
      <calculatedColumnFormula>SUM(Table1[[#This Row],[yr 2_wl]:[yr 2_pf]])</calculatedColumnFormula>
    </tableColumn>
    <tableColumn id="28" name="yr 3_wl" dataDxfId="170">
      <calculatedColumnFormula>IF(Table1[[#This Row],[Years_Next_Rehab_Well]]=3,VLOOKUP(Table1[[#This Row],[Item_Rehab_WL]],[1]!Table2[#All],6,FALSE),0)</calculatedColumnFormula>
    </tableColumn>
    <tableColumn id="29" name="yr 3_hp" dataDxfId="169">
      <calculatedColumnFormula>IF(Table1[[#This Row],[Adjusted_ULife_HP]]=3,VLOOKUP(Table1[[#This Row],[Item_Handpump]],[1]!Table2[#All],6,FALSE),0)</calculatedColumnFormula>
    </tableColumn>
    <tableColumn id="30" name="yr 3_pf" dataDxfId="168">
      <calculatedColumnFormula>IF(Table1[[#This Row],[Adjusted_ULife_PF]]=3,VLOOKUP(Table1[[#This Row],[Item_Platform]],[1]!Table2[#All],6,FALSE),0)</calculatedColumnFormula>
    </tableColumn>
    <tableColumn id="51" name="yr 3_total" dataDxfId="167">
      <calculatedColumnFormula>SUM(Table1[[#This Row],[yr 3_wl]:[yr 3_pf]])</calculatedColumnFormula>
    </tableColumn>
    <tableColumn id="31" name="yr 4_wl" dataDxfId="166">
      <calculatedColumnFormula>IF(Table1[[#This Row],[Years_Next_Rehab_Well]]=4,VLOOKUP(Table1[[#This Row],[Item_Rehab_WL]],[1]!Table2[#All],7,FALSE),0)</calculatedColumnFormula>
    </tableColumn>
    <tableColumn id="32" name="yr 4_hp" dataDxfId="165">
      <calculatedColumnFormula>IF(Table1[[#This Row],[Adjusted_ULife_HP]]=4,VLOOKUP(Table1[[#This Row],[Item_Handpump]],[1]!Table2[#All],7,FALSE),0)</calculatedColumnFormula>
    </tableColumn>
    <tableColumn id="33" name="yr 4_pf" dataDxfId="164">
      <calculatedColumnFormula>IF(Table1[[#This Row],[Adjusted_ULife_PF]]=4,VLOOKUP(Table1[[#This Row],[Item_Platform]],[1]!Table2[#All],7,FALSE),0)</calculatedColumnFormula>
    </tableColumn>
    <tableColumn id="50" name="yr 4_total" dataDxfId="163">
      <calculatedColumnFormula>SUM(Table1[[#This Row],[yr 4_wl]:[yr 4_pf]])</calculatedColumnFormula>
    </tableColumn>
    <tableColumn id="34" name="yr 5_wl" dataDxfId="162">
      <calculatedColumnFormula>IF(Table1[[#This Row],[Years_Next_Rehab_Well]]=5,VLOOKUP(Table1[[#This Row],[Item_Rehab_WL]],[1]!Table2[#All],8,FALSE),0)</calculatedColumnFormula>
    </tableColumn>
    <tableColumn id="35" name="yr 5_hp" dataDxfId="161">
      <calculatedColumnFormula>IF(Table1[[#This Row],[Adjusted_ULife_HP]]=5,VLOOKUP(Table1[[#This Row],[Item_Handpump]],[1]!Table2[#All],8,FALSE),0)</calculatedColumnFormula>
    </tableColumn>
    <tableColumn id="36" name="yr 5_pf" dataDxfId="160">
      <calculatedColumnFormula>IF(Table1[[#This Row],[Adjusted_ULife_PF]]=5,VLOOKUP(Table1[[#This Row],[Item_Platform]],[1]!Table2[#All],8,FALSE),0)</calculatedColumnFormula>
    </tableColumn>
    <tableColumn id="49" name="yr 5_total" dataDxfId="159">
      <calculatedColumnFormula>SUM(Table1[[#This Row],[yr 5_wl]:[yr 5_pf]])</calculatedColumnFormula>
    </tableColumn>
    <tableColumn id="44" name="yr 6_wl" dataDxfId="158">
      <calculatedColumnFormula>IF(Table1[[#This Row],[Years_Next_Rehab_Well]]=6,VLOOKUP(Table1[[#This Row],[Item_Rehab_WL]],[1]!Table2[#All],9,FALSE),0)</calculatedColumnFormula>
    </tableColumn>
    <tableColumn id="45" name="yr 6_hp" dataDxfId="157">
      <calculatedColumnFormula>IF(Table1[[#This Row],[Adjusted_ULife_HP]]=6,VLOOKUP(Table1[[#This Row],[Item_Handpump]],[1]!Table2[#All],9,FALSE),0)</calculatedColumnFormula>
    </tableColumn>
    <tableColumn id="46" name="yr 6_pf" dataDxfId="156">
      <calculatedColumnFormula>IF(Table1[[#This Row],[Adjusted_ULife_PF]]=6,VLOOKUP(Table1[[#This Row],[Item_Platform]],[1]!Table2[#All],9,FALSE),0)</calculatedColumnFormula>
    </tableColumn>
    <tableColumn id="48" name="yr 6_total" dataDxfId="155">
      <calculatedColumnFormula>SUM(Table1[[#This Row],[yr 6_wl]:[yr 6_pf]])</calculatedColumnFormula>
    </tableColumn>
    <tableColumn id="47" name="yr 7_wl" dataDxfId="154">
      <calculatedColumnFormula>IF(Table1[[#This Row],[Years_Next_Rehab_Well]]=7,VLOOKUP(Table1[[#This Row],[Item_Rehab_WL]],[1]!Table2[#All],10,FALSE),0)</calculatedColumnFormula>
    </tableColumn>
    <tableColumn id="55" name="yr 7_hp" dataDxfId="153">
      <calculatedColumnFormula>IF(Table1[[#This Row],[Adjusted_ULife_HP]]=7,VLOOKUP(Table1[[#This Row],[Item_Handpump]],[1]!Table2[#All],10,FALSE),0)</calculatedColumnFormula>
    </tableColumn>
    <tableColumn id="56" name="yr 7_pf" dataDxfId="152">
      <calculatedColumnFormula>IF(Table1[[#This Row],[Adjusted_ULife_PF]]=7,VLOOKUP(Table1[[#This Row],[Item_Platform]],[1]!Table2[#All],10,FALSE),0)</calculatedColumnFormula>
    </tableColumn>
    <tableColumn id="57" name="yr 7_total" dataDxfId="151">
      <calculatedColumnFormula>SUM(Table1[[#This Row],[yr 7_wl]:[yr 7_pf]])</calculatedColumnFormula>
    </tableColumn>
    <tableColumn id="58" name="yr 8_wl" dataDxfId="150">
      <calculatedColumnFormula>IF(Table1[[#This Row],[Years_Next_Rehab_Well]]=8,VLOOKUP(Table1[[#This Row],[Item_Rehab_WL]],[1]!Table2[#All],11,FALSE),0)</calculatedColumnFormula>
    </tableColumn>
    <tableColumn id="59" name="yr 8_hp" dataDxfId="149">
      <calculatedColumnFormula>IF(Table1[[#This Row],[Adjusted_ULife_HP]]=8,VLOOKUP(Table1[[#This Row],[Item_Handpump]],[1]!Table2[#All],11,FALSE),0)</calculatedColumnFormula>
    </tableColumn>
    <tableColumn id="60" name="yr 8_pf" dataDxfId="148">
      <calculatedColumnFormula>IF(Table1[[#This Row],[Adjusted_ULife_PF]]=8,VLOOKUP(Table1[[#This Row],[Item_Platform]],[1]!Table2[#All],11,FALSE),0)</calculatedColumnFormula>
    </tableColumn>
    <tableColumn id="61" name="yr 8_total" dataDxfId="147">
      <calculatedColumnFormula>SUM(Table1[[#This Row],[yr 8_wl]:[yr 8_pf]])</calculatedColumnFormula>
    </tableColumn>
    <tableColumn id="62" name="yr 9_wl" dataDxfId="146">
      <calculatedColumnFormula>IF(Table1[[#This Row],[Years_Next_Rehab_Well]]=9,VLOOKUP(Table1[[#This Row],[Item_Rehab_WL]],[1]!Table2[#All],12,FALSE),0)</calculatedColumnFormula>
    </tableColumn>
    <tableColumn id="63" name="yr 9_hp" dataDxfId="145">
      <calculatedColumnFormula>IF(Table1[[#This Row],[Adjusted_ULife_HP]]=9,VLOOKUP(Table1[[#This Row],[Item_Handpump]],[1]!Table2[#All],12,FALSE),0)</calculatedColumnFormula>
    </tableColumn>
    <tableColumn id="64" name="yr 9_pf" dataDxfId="144">
      <calculatedColumnFormula>IF(Table1[[#This Row],[Adjusted_ULife_PF]]=9,VLOOKUP(Table1[[#This Row],[Item_Platform]],[1]!Table2[#All],12,FALSE),0)</calculatedColumnFormula>
    </tableColumn>
    <tableColumn id="65" name="yr 9_total" dataDxfId="143">
      <calculatedColumnFormula>SUM(Table1[[#This Row],[yr 9_wl]:[yr 9_pf]])</calculatedColumnFormula>
    </tableColumn>
    <tableColumn id="66" name="yr 10_wl" dataDxfId="142">
      <calculatedColumnFormula>IF(Table1[[#This Row],[Years_Next_Rehab_Well]]=10,VLOOKUP(Table1[[#This Row],[Item_Rehab_WL]],[1]!Table2[#All],13,FALSE),0)</calculatedColumnFormula>
    </tableColumn>
    <tableColumn id="67" name="yr 10_hp" dataDxfId="141">
      <calculatedColumnFormula>IF(Table1[[#This Row],[Adjusted_ULife_HP]]=10,VLOOKUP(Table1[[#This Row],[Item_Handpump]],[1]!Table2[#All],13,FALSE),0)</calculatedColumnFormula>
    </tableColumn>
    <tableColumn id="68" name="yr 10_pf" dataDxfId="140">
      <calculatedColumnFormula>IF(Table1[[#This Row],[Adjusted_ULife_PF]]=10,VLOOKUP(Table1[[#This Row],[Item_Platform]],[1]!Table2[#All],13,FALSE),0)</calculatedColumnFormula>
    </tableColumn>
    <tableColumn id="69" name="yr 10_total" dataDxfId="139">
      <calculatedColumnFormula>SUM(Table1[[#This Row],[yr 10_wl]:[yr 10_pf]])</calculatedColumnFormula>
    </tableColumn>
    <tableColumn id="70" name="yr 11_wl" dataDxfId="138">
      <calculatedColumnFormula>IF(Table1[[#This Row],[Years_Next_Rehab_Well]]=11,VLOOKUP(Table1[[#This Row],[Item_Rehab_WL]],[1]!Table2[#All],14,FALSE),0)</calculatedColumnFormula>
    </tableColumn>
    <tableColumn id="71" name="yr 11_hp" dataDxfId="137">
      <calculatedColumnFormula>IF(Table1[[#This Row],[Adjusted_ULife_HP]]=11,VLOOKUP(Table1[[#This Row],[Item_Handpump]],[1]!Table2[#All],14,FALSE),0)</calculatedColumnFormula>
    </tableColumn>
    <tableColumn id="72" name="yr 11_pf" dataDxfId="136">
      <calculatedColumnFormula>IF(Table1[[#This Row],[Adjusted_ULife_PF]]=11,VLOOKUP(Table1[[#This Row],[Item_Platform]],[1]!Table2[#All],14,FALSE),0)</calculatedColumnFormula>
    </tableColumn>
    <tableColumn id="73" name="yr 11_total" dataDxfId="135">
      <calculatedColumnFormula>SUM(Table1[[#This Row],[yr 11_wl]:[yr 11_pf]])</calculatedColumnFormula>
    </tableColumn>
    <tableColumn id="74" name="yr 12_wl" dataDxfId="134">
      <calculatedColumnFormula>IF(Table1[[#This Row],[Years_Next_Rehab_Well]]=12,VLOOKUP(Table1[[#This Row],[Item_Rehab_WL]],[1]!Table2[#All],15,FALSE),0)</calculatedColumnFormula>
    </tableColumn>
    <tableColumn id="75" name="yr 12_hp" dataDxfId="133">
      <calculatedColumnFormula>IF(Table1[[#This Row],[Adjusted_ULife_HP]]=12,VLOOKUP(Table1[[#This Row],[Item_Handpump]],[1]!Table2[#All],15,FALSE),0)</calculatedColumnFormula>
    </tableColumn>
    <tableColumn id="76" name="yr 12_pf" dataDxfId="132">
      <calculatedColumnFormula>IF(Table1[[#This Row],[Adjusted_ULife_PF]]=12,VLOOKUP(Table1[[#This Row],[Item_Platform]],[1]!Table2[#All],15,FALSE),0)</calculatedColumnFormula>
    </tableColumn>
    <tableColumn id="77" name="yr 12_total" dataDxfId="131">
      <calculatedColumnFormula>SUM(Table1[[#This Row],[yr 12_wl]:[yr 12_pf]])</calculatedColumnFormula>
    </tableColumn>
    <tableColumn id="78" name="yr 13_wl" dataDxfId="130">
      <calculatedColumnFormula>IF(Table1[[#This Row],[Years_Next_Rehab_Well]]=13,VLOOKUP(Table1[[#This Row],[Item_Rehab_WL]],[1]!Table2[#All],16,FALSE),0)</calculatedColumnFormula>
    </tableColumn>
    <tableColumn id="79" name="yr 13_hp" dataDxfId="129">
      <calculatedColumnFormula>IF(Table1[[#This Row],[Adjusted_ULife_HP]]=13,VLOOKUP(Table1[[#This Row],[Item_Handpump]],[1]!Table2[#All],16,FALSE),0)</calculatedColumnFormula>
    </tableColumn>
    <tableColumn id="80" name="yr 13_pf" dataDxfId="128">
      <calculatedColumnFormula>IF(Table1[[#This Row],[Adjusted_ULife_PF]]=13,VLOOKUP(Table1[[#This Row],[Item_Platform]],[1]!Table2[#All],16,FALSE),0)</calculatedColumnFormula>
    </tableColumn>
    <tableColumn id="81" name="yr 13_total" dataDxfId="127">
      <calculatedColumnFormula>SUM(Table1[[#This Row],[yr 13_wl]:[yr 13_pf]])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74"/>
  <sheetViews>
    <sheetView tabSelected="1" zoomScale="125" zoomScaleNormal="125" zoomScalePageLayoutView="125" workbookViewId="0">
      <pane xSplit="3" ySplit="7" topLeftCell="D8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27" defaultRowHeight="15" x14ac:dyDescent="0.25"/>
  <cols>
    <col min="1" max="1" width="14.85546875" style="1" bestFit="1" customWidth="1"/>
    <col min="2" max="2" width="17.85546875" style="1" bestFit="1" customWidth="1"/>
    <col min="3" max="3" width="19.140625" style="1" bestFit="1" customWidth="1"/>
    <col min="4" max="4" width="17.42578125" style="1" bestFit="1" customWidth="1"/>
    <col min="5" max="5" width="18.140625" style="1" bestFit="1" customWidth="1"/>
    <col min="6" max="6" width="33.85546875" style="1" customWidth="1"/>
    <col min="7" max="7" width="12.140625" style="9" bestFit="1" customWidth="1"/>
    <col min="8" max="8" width="20.28515625" style="1" bestFit="1" customWidth="1"/>
    <col min="9" max="9" width="24.7109375" style="8" bestFit="1" customWidth="1"/>
    <col min="10" max="10" width="24.7109375" style="8" customWidth="1"/>
    <col min="11" max="11" width="23.7109375" style="9" bestFit="1" customWidth="1"/>
    <col min="12" max="12" width="20" style="1" bestFit="1" customWidth="1"/>
    <col min="13" max="13" width="22.28515625" style="8" bestFit="1" customWidth="1"/>
    <col min="14" max="14" width="17" style="1" bestFit="1" customWidth="1"/>
    <col min="15" max="15" width="27.28515625" style="1" bestFit="1" customWidth="1"/>
    <col min="16" max="16" width="15" style="9" bestFit="1" customWidth="1"/>
    <col min="17" max="17" width="17" style="1" bestFit="1" customWidth="1"/>
    <col min="18" max="18" width="22" style="8" bestFit="1" customWidth="1"/>
    <col min="19" max="19" width="20.140625" style="7" bestFit="1" customWidth="1"/>
    <col min="20" max="20" width="25.28515625" style="7" bestFit="1" customWidth="1"/>
    <col min="21" max="21" width="26.7109375" style="7" bestFit="1" customWidth="1"/>
    <col min="22" max="22" width="25.140625" style="6" bestFit="1" customWidth="1"/>
    <col min="23" max="25" width="21.28515625" style="6" bestFit="1" customWidth="1"/>
    <col min="26" max="26" width="16.85546875" style="5" bestFit="1" customWidth="1"/>
    <col min="27" max="27" width="17" style="5" bestFit="1" customWidth="1"/>
    <col min="28" max="28" width="14" style="5" bestFit="1" customWidth="1"/>
    <col min="29" max="29" width="18.7109375" style="5" bestFit="1" customWidth="1"/>
    <col min="30" max="30" width="9.42578125" style="4" bestFit="1" customWidth="1"/>
    <col min="31" max="31" width="9.7109375" style="4" bestFit="1" customWidth="1"/>
    <col min="32" max="32" width="9.28515625" style="2" bestFit="1" customWidth="1"/>
    <col min="33" max="33" width="11.28515625" style="2" bestFit="1" customWidth="1"/>
    <col min="34" max="34" width="9.42578125" style="2" bestFit="1" customWidth="1"/>
    <col min="35" max="35" width="9.7109375" style="2" bestFit="1" customWidth="1"/>
    <col min="36" max="37" width="9.28515625" style="2" bestFit="1" customWidth="1"/>
    <col min="38" max="38" width="9.42578125" style="2" bestFit="1" customWidth="1"/>
    <col min="39" max="39" width="9.7109375" style="2" bestFit="1" customWidth="1"/>
    <col min="40" max="41" width="9.28515625" style="2" bestFit="1" customWidth="1"/>
    <col min="42" max="42" width="9.42578125" style="2" bestFit="1" customWidth="1"/>
    <col min="43" max="43" width="9.7109375" style="2" bestFit="1" customWidth="1"/>
    <col min="44" max="45" width="9.28515625" style="2" bestFit="1" customWidth="1"/>
    <col min="46" max="46" width="9.42578125" style="2" bestFit="1" customWidth="1"/>
    <col min="47" max="47" width="9.7109375" style="2" bestFit="1" customWidth="1"/>
    <col min="48" max="49" width="9.28515625" style="2" bestFit="1" customWidth="1"/>
    <col min="50" max="50" width="9.42578125" style="2" bestFit="1" customWidth="1"/>
    <col min="51" max="51" width="9.7109375" style="3" bestFit="1" customWidth="1"/>
    <col min="52" max="53" width="9.28515625" style="2" bestFit="1" customWidth="1"/>
    <col min="54" max="54" width="9.42578125" style="2" bestFit="1" customWidth="1"/>
    <col min="55" max="55" width="9.7109375" style="2" bestFit="1" customWidth="1"/>
    <col min="56" max="57" width="9.28515625" style="2" bestFit="1" customWidth="1"/>
    <col min="58" max="58" width="9.42578125" style="2" bestFit="1" customWidth="1"/>
    <col min="59" max="59" width="9.7109375" style="2" bestFit="1" customWidth="1"/>
    <col min="60" max="61" width="9.28515625" style="2" bestFit="1" customWidth="1"/>
    <col min="62" max="62" width="9.42578125" style="2" bestFit="1" customWidth="1"/>
    <col min="63" max="63" width="9.7109375" style="2" bestFit="1" customWidth="1"/>
    <col min="64" max="65" width="9.28515625" style="2" bestFit="1" customWidth="1"/>
    <col min="66" max="66" width="10.42578125" style="2" bestFit="1" customWidth="1"/>
    <col min="67" max="67" width="10.7109375" style="2" bestFit="1" customWidth="1"/>
    <col min="68" max="68" width="10.140625" style="2" bestFit="1" customWidth="1"/>
    <col min="69" max="69" width="10.28515625" style="2" bestFit="1" customWidth="1"/>
    <col min="70" max="70" width="10.42578125" style="2" bestFit="1" customWidth="1"/>
    <col min="71" max="71" width="10.7109375" style="2" bestFit="1" customWidth="1"/>
    <col min="72" max="72" width="10.140625" style="2" bestFit="1" customWidth="1"/>
    <col min="73" max="73" width="9.42578125" style="2" bestFit="1" customWidth="1"/>
    <col min="74" max="74" width="10.42578125" style="2" bestFit="1" customWidth="1"/>
    <col min="75" max="75" width="10.7109375" style="2" bestFit="1" customWidth="1"/>
    <col min="76" max="76" width="10.140625" style="2" bestFit="1" customWidth="1"/>
    <col min="77" max="77" width="10.28515625" style="2" bestFit="1" customWidth="1"/>
    <col min="78" max="78" width="10.42578125" style="2" bestFit="1" customWidth="1"/>
    <col min="79" max="79" width="10.7109375" style="2" bestFit="1" customWidth="1"/>
    <col min="80" max="80" width="10.140625" style="2" bestFit="1" customWidth="1"/>
    <col min="81" max="81" width="10.28515625" style="2" bestFit="1" customWidth="1"/>
    <col min="82" max="82" width="27" style="2"/>
    <col min="83" max="16384" width="27" style="1"/>
  </cols>
  <sheetData>
    <row r="1" spans="1:82" x14ac:dyDescent="0.25">
      <c r="S1" s="41" t="s">
        <v>92</v>
      </c>
      <c r="T1" s="41"/>
    </row>
    <row r="2" spans="1:82" ht="21" x14ac:dyDescent="0.35">
      <c r="A2" s="1" t="s">
        <v>93</v>
      </c>
      <c r="S2" s="40" t="s">
        <v>91</v>
      </c>
      <c r="T2" s="40"/>
    </row>
    <row r="3" spans="1:82" x14ac:dyDescent="0.25">
      <c r="S3" s="37"/>
      <c r="T3" s="37"/>
    </row>
    <row r="4" spans="1:82" ht="23.25" x14ac:dyDescent="0.25">
      <c r="S4" s="37"/>
      <c r="T4" s="37"/>
      <c r="Z4" s="39" t="s">
        <v>90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</row>
    <row r="5" spans="1:82" ht="45" x14ac:dyDescent="0.25">
      <c r="S5" s="37"/>
      <c r="T5" s="37"/>
      <c r="Z5" s="5" t="s">
        <v>89</v>
      </c>
      <c r="AA5" s="5" t="s">
        <v>88</v>
      </c>
      <c r="AB5" s="5" t="s">
        <v>87</v>
      </c>
      <c r="AC5" s="5" t="s">
        <v>86</v>
      </c>
      <c r="AD5" s="5" t="s">
        <v>89</v>
      </c>
      <c r="AE5" s="5" t="s">
        <v>88</v>
      </c>
      <c r="AF5" s="5" t="s">
        <v>87</v>
      </c>
      <c r="AG5" s="5" t="s">
        <v>86</v>
      </c>
      <c r="AH5" s="5" t="s">
        <v>89</v>
      </c>
      <c r="AI5" s="5" t="s">
        <v>88</v>
      </c>
      <c r="AJ5" s="5" t="s">
        <v>87</v>
      </c>
      <c r="AK5" s="5" t="s">
        <v>86</v>
      </c>
      <c r="AL5" s="5" t="s">
        <v>89</v>
      </c>
      <c r="AM5" s="5" t="s">
        <v>88</v>
      </c>
      <c r="AN5" s="5" t="s">
        <v>87</v>
      </c>
      <c r="AO5" s="5" t="s">
        <v>86</v>
      </c>
      <c r="AP5" s="5" t="s">
        <v>89</v>
      </c>
      <c r="AQ5" s="5" t="s">
        <v>88</v>
      </c>
      <c r="AR5" s="5" t="s">
        <v>87</v>
      </c>
      <c r="AS5" s="5" t="s">
        <v>86</v>
      </c>
      <c r="AT5" s="5" t="s">
        <v>89</v>
      </c>
      <c r="AU5" s="5" t="s">
        <v>88</v>
      </c>
      <c r="AV5" s="5" t="s">
        <v>87</v>
      </c>
      <c r="AW5" s="5" t="s">
        <v>86</v>
      </c>
      <c r="AX5" s="5" t="s">
        <v>89</v>
      </c>
      <c r="AY5" s="5" t="s">
        <v>88</v>
      </c>
      <c r="AZ5" s="5" t="s">
        <v>87</v>
      </c>
      <c r="BA5" s="5" t="s">
        <v>86</v>
      </c>
      <c r="BB5" s="5" t="s">
        <v>89</v>
      </c>
      <c r="BC5" s="5" t="s">
        <v>88</v>
      </c>
      <c r="BD5" s="5" t="s">
        <v>87</v>
      </c>
      <c r="BE5" s="5" t="s">
        <v>86</v>
      </c>
      <c r="BF5" s="5" t="s">
        <v>89</v>
      </c>
      <c r="BG5" s="5" t="s">
        <v>88</v>
      </c>
      <c r="BH5" s="5" t="s">
        <v>87</v>
      </c>
      <c r="BI5" s="5" t="s">
        <v>86</v>
      </c>
      <c r="BJ5" s="5" t="s">
        <v>89</v>
      </c>
      <c r="BK5" s="5" t="s">
        <v>88</v>
      </c>
      <c r="BL5" s="5" t="s">
        <v>87</v>
      </c>
      <c r="BM5" s="5" t="s">
        <v>86</v>
      </c>
      <c r="BN5" s="5" t="s">
        <v>89</v>
      </c>
      <c r="BO5" s="5" t="s">
        <v>88</v>
      </c>
      <c r="BP5" s="5" t="s">
        <v>87</v>
      </c>
      <c r="BQ5" s="5" t="s">
        <v>86</v>
      </c>
      <c r="BR5" s="5" t="s">
        <v>89</v>
      </c>
      <c r="BS5" s="5" t="s">
        <v>88</v>
      </c>
      <c r="BT5" s="5" t="s">
        <v>87</v>
      </c>
      <c r="BU5" s="5" t="s">
        <v>86</v>
      </c>
      <c r="BV5" s="5" t="s">
        <v>89</v>
      </c>
      <c r="BW5" s="5" t="s">
        <v>88</v>
      </c>
      <c r="BX5" s="5" t="s">
        <v>87</v>
      </c>
      <c r="BY5" s="5" t="s">
        <v>86</v>
      </c>
      <c r="BZ5" s="5" t="s">
        <v>89</v>
      </c>
      <c r="CA5" s="5" t="s">
        <v>88</v>
      </c>
      <c r="CB5" s="5" t="s">
        <v>87</v>
      </c>
      <c r="CC5" s="5" t="s">
        <v>86</v>
      </c>
    </row>
    <row r="6" spans="1:82" x14ac:dyDescent="0.25">
      <c r="I6" s="38" t="s">
        <v>85</v>
      </c>
      <c r="J6" s="38"/>
      <c r="S6" s="37" t="s">
        <v>84</v>
      </c>
      <c r="T6" s="37" t="s">
        <v>83</v>
      </c>
      <c r="U6" s="7" t="s">
        <v>82</v>
      </c>
      <c r="Z6" s="36">
        <f>[1]Input_EUL_CRC_ERC!B17</f>
        <v>2017</v>
      </c>
      <c r="AA6" s="36"/>
      <c r="AB6" s="36"/>
      <c r="AC6" s="36"/>
      <c r="AD6" s="35">
        <f>Z6+1</f>
        <v>2018</v>
      </c>
      <c r="AE6" s="35"/>
      <c r="AF6" s="35"/>
      <c r="AG6" s="35"/>
      <c r="AH6" s="35">
        <f>AD6+1</f>
        <v>2019</v>
      </c>
      <c r="AI6" s="35"/>
      <c r="AJ6" s="35"/>
      <c r="AK6" s="35"/>
      <c r="AL6" s="35">
        <f>AH6+1</f>
        <v>2020</v>
      </c>
      <c r="AM6" s="35"/>
      <c r="AN6" s="35"/>
      <c r="AO6" s="35"/>
      <c r="AP6" s="35">
        <f>AL6+1</f>
        <v>2021</v>
      </c>
      <c r="AQ6" s="35"/>
      <c r="AR6" s="35"/>
      <c r="AS6" s="35"/>
      <c r="AT6" s="35">
        <f>AP6+1</f>
        <v>2022</v>
      </c>
      <c r="AU6" s="35"/>
      <c r="AV6" s="35"/>
      <c r="AW6" s="35"/>
      <c r="AX6" s="35">
        <f>AT6+1</f>
        <v>2023</v>
      </c>
      <c r="AY6" s="35"/>
      <c r="AZ6" s="35"/>
      <c r="BA6" s="35"/>
      <c r="BB6" s="35">
        <f>AX6+1</f>
        <v>2024</v>
      </c>
      <c r="BC6" s="35"/>
      <c r="BD6" s="35"/>
      <c r="BE6" s="35"/>
      <c r="BF6" s="35">
        <f>BB6+1</f>
        <v>2025</v>
      </c>
      <c r="BG6" s="35"/>
      <c r="BH6" s="35"/>
      <c r="BI6" s="35"/>
      <c r="BJ6" s="35">
        <f>BF6+1</f>
        <v>2026</v>
      </c>
      <c r="BK6" s="35"/>
      <c r="BL6" s="35"/>
      <c r="BM6" s="35"/>
      <c r="BN6" s="35">
        <f>BJ6+1</f>
        <v>2027</v>
      </c>
      <c r="BO6" s="35"/>
      <c r="BP6" s="35"/>
      <c r="BQ6" s="35"/>
      <c r="BR6" s="35">
        <f>BN6+1</f>
        <v>2028</v>
      </c>
      <c r="BS6" s="35"/>
      <c r="BT6" s="35"/>
      <c r="BU6" s="35"/>
      <c r="BV6" s="35">
        <f>BR6+1</f>
        <v>2029</v>
      </c>
      <c r="BW6" s="35"/>
      <c r="BX6" s="35"/>
      <c r="BY6" s="35"/>
      <c r="BZ6" s="35">
        <f>BV6+1</f>
        <v>2030</v>
      </c>
      <c r="CA6" s="35"/>
      <c r="CB6" s="35"/>
      <c r="CC6" s="35"/>
    </row>
    <row r="7" spans="1:82" s="27" customFormat="1" ht="30" x14ac:dyDescent="0.25">
      <c r="A7" s="27" t="s">
        <v>81</v>
      </c>
      <c r="B7" s="34" t="s">
        <v>80</v>
      </c>
      <c r="C7" s="34" t="s">
        <v>79</v>
      </c>
      <c r="D7" s="34" t="s">
        <v>78</v>
      </c>
      <c r="E7" s="34" t="s">
        <v>77</v>
      </c>
      <c r="F7" s="34" t="s">
        <v>76</v>
      </c>
      <c r="G7" s="34" t="s">
        <v>75</v>
      </c>
      <c r="H7" s="33" t="s">
        <v>74</v>
      </c>
      <c r="I7" s="33" t="s">
        <v>73</v>
      </c>
      <c r="J7" s="33" t="s">
        <v>72</v>
      </c>
      <c r="K7" s="34" t="s">
        <v>71</v>
      </c>
      <c r="L7" s="33" t="s">
        <v>70</v>
      </c>
      <c r="M7" s="33" t="s">
        <v>69</v>
      </c>
      <c r="N7" s="34" t="s">
        <v>68</v>
      </c>
      <c r="O7" s="34" t="s">
        <v>67</v>
      </c>
      <c r="P7" s="34" t="s">
        <v>66</v>
      </c>
      <c r="Q7" s="34" t="s">
        <v>65</v>
      </c>
      <c r="R7" s="33" t="s">
        <v>64</v>
      </c>
      <c r="S7" s="32" t="s">
        <v>63</v>
      </c>
      <c r="T7" s="32" t="s">
        <v>62</v>
      </c>
      <c r="U7" s="32" t="s">
        <v>61</v>
      </c>
      <c r="V7" s="31" t="s">
        <v>60</v>
      </c>
      <c r="W7" s="31" t="s">
        <v>59</v>
      </c>
      <c r="X7" s="31" t="s">
        <v>58</v>
      </c>
      <c r="Y7" s="31" t="s">
        <v>57</v>
      </c>
      <c r="Z7" s="30" t="s">
        <v>56</v>
      </c>
      <c r="AA7" s="30" t="s">
        <v>55</v>
      </c>
      <c r="AB7" s="30" t="s">
        <v>54</v>
      </c>
      <c r="AC7" s="30" t="s">
        <v>53</v>
      </c>
      <c r="AD7" s="29" t="s">
        <v>52</v>
      </c>
      <c r="AE7" s="29" t="s">
        <v>51</v>
      </c>
      <c r="AF7" s="29" t="s">
        <v>50</v>
      </c>
      <c r="AG7" s="29" t="s">
        <v>49</v>
      </c>
      <c r="AH7" s="29" t="s">
        <v>48</v>
      </c>
      <c r="AI7" s="29" t="s">
        <v>47</v>
      </c>
      <c r="AJ7" s="29" t="s">
        <v>46</v>
      </c>
      <c r="AK7" s="29" t="s">
        <v>45</v>
      </c>
      <c r="AL7" s="29" t="s">
        <v>44</v>
      </c>
      <c r="AM7" s="29" t="s">
        <v>43</v>
      </c>
      <c r="AN7" s="29" t="s">
        <v>42</v>
      </c>
      <c r="AO7" s="29" t="s">
        <v>41</v>
      </c>
      <c r="AP7" s="29" t="s">
        <v>40</v>
      </c>
      <c r="AQ7" s="29" t="s">
        <v>39</v>
      </c>
      <c r="AR7" s="29" t="s">
        <v>38</v>
      </c>
      <c r="AS7" s="29" t="s">
        <v>37</v>
      </c>
      <c r="AT7" s="29" t="s">
        <v>36</v>
      </c>
      <c r="AU7" s="29" t="s">
        <v>35</v>
      </c>
      <c r="AV7" s="29" t="s">
        <v>34</v>
      </c>
      <c r="AW7" s="29" t="s">
        <v>33</v>
      </c>
      <c r="AX7" s="29" t="s">
        <v>32</v>
      </c>
      <c r="AY7" s="29" t="s">
        <v>31</v>
      </c>
      <c r="AZ7" s="29" t="s">
        <v>30</v>
      </c>
      <c r="BA7" s="29" t="s">
        <v>29</v>
      </c>
      <c r="BB7" s="29" t="s">
        <v>28</v>
      </c>
      <c r="BC7" s="29" t="s">
        <v>27</v>
      </c>
      <c r="BD7" s="29" t="s">
        <v>26</v>
      </c>
      <c r="BE7" s="29" t="s">
        <v>25</v>
      </c>
      <c r="BF7" s="29" t="s">
        <v>24</v>
      </c>
      <c r="BG7" s="29" t="s">
        <v>23</v>
      </c>
      <c r="BH7" s="29" t="s">
        <v>22</v>
      </c>
      <c r="BI7" s="29" t="s">
        <v>21</v>
      </c>
      <c r="BJ7" s="29" t="s">
        <v>20</v>
      </c>
      <c r="BK7" s="29" t="s">
        <v>19</v>
      </c>
      <c r="BL7" s="29" t="s">
        <v>18</v>
      </c>
      <c r="BM7" s="29" t="s">
        <v>17</v>
      </c>
      <c r="BN7" s="29" t="s">
        <v>16</v>
      </c>
      <c r="BO7" s="29" t="s">
        <v>15</v>
      </c>
      <c r="BP7" s="29" t="s">
        <v>14</v>
      </c>
      <c r="BQ7" s="29" t="s">
        <v>13</v>
      </c>
      <c r="BR7" s="29" t="s">
        <v>12</v>
      </c>
      <c r="BS7" s="29" t="s">
        <v>11</v>
      </c>
      <c r="BT7" s="29" t="s">
        <v>10</v>
      </c>
      <c r="BU7" s="29" t="s">
        <v>9</v>
      </c>
      <c r="BV7" s="29" t="s">
        <v>8</v>
      </c>
      <c r="BW7" s="29" t="s">
        <v>7</v>
      </c>
      <c r="BX7" s="29" t="s">
        <v>6</v>
      </c>
      <c r="BY7" s="29" t="s">
        <v>5</v>
      </c>
      <c r="BZ7" s="29" t="s">
        <v>4</v>
      </c>
      <c r="CA7" s="29" t="s">
        <v>3</v>
      </c>
      <c r="CB7" s="29" t="s">
        <v>2</v>
      </c>
      <c r="CC7" s="29" t="s">
        <v>1</v>
      </c>
      <c r="CD7" s="28"/>
    </row>
    <row r="8" spans="1:82" s="11" customFormat="1" x14ac:dyDescent="0.25">
      <c r="A8" s="11" t="str">
        <f>IF([1]Input_monitoring_data!A4="","",[1]Input_monitoring_data!A4)</f>
        <v>122f-g4xu-2qmb</v>
      </c>
      <c r="B8" s="22" t="str">
        <f>[1]Input_monitoring_data!BH4</f>
        <v>Kenyasi No.2</v>
      </c>
      <c r="C8" s="22" t="str">
        <f>[1]Input_monitoring_data!BI4</f>
        <v>Agya Osei</v>
      </c>
      <c r="D8" s="22" t="str">
        <f>[1]Input_monitoring_data!P4</f>
        <v>7.051322167484541</v>
      </c>
      <c r="E8" s="22" t="str">
        <f>[1]Input_monitoring_data!Q4</f>
        <v>-2.384507042457511</v>
      </c>
      <c r="F8" s="22" t="str">
        <f>[1]Input_monitoring_data!V4</f>
        <v>Agya Osei Coaco Farm</v>
      </c>
      <c r="G8" s="23" t="str">
        <f>[1]Input_monitoring_data!U4</f>
        <v>Borehole</v>
      </c>
      <c r="H8" s="22">
        <f>[1]Input_monitoring_data!X4</f>
        <v>2008</v>
      </c>
      <c r="I8" s="21" t="str">
        <f>[1]Input_monitoring_data!AB4</f>
        <v>Borehole redevelopment</v>
      </c>
      <c r="J8" s="21">
        <f>[1]Input_monitoring_data!AC4</f>
        <v>0</v>
      </c>
      <c r="K8" s="23" t="str">
        <f>[1]Input_monitoring_data!W4</f>
        <v>AfriDev</v>
      </c>
      <c r="L8" s="22">
        <f>[1]Input_monitoring_data!X4</f>
        <v>2008</v>
      </c>
      <c r="M8" s="21">
        <f>IF([1]Input_monitoring_data!BL4&gt;'Point Sources_Asset_Register_'!L8,[1]Input_monitoring_data!BL4,"")</f>
        <v>2013</v>
      </c>
      <c r="N8" s="22" t="str">
        <f>[1]Input_monitoring_data!BQ4</f>
        <v>No repeat</v>
      </c>
      <c r="O8" s="22">
        <f>[1]Input_monitoring_data!AJ4</f>
        <v>0</v>
      </c>
      <c r="P8" s="23" t="s">
        <v>0</v>
      </c>
      <c r="Q8" s="22">
        <f>L8</f>
        <v>2008</v>
      </c>
      <c r="R8" s="21">
        <f>M8</f>
        <v>2013</v>
      </c>
      <c r="S8" s="20">
        <f>[1]Input_EUL_CRC_ERC!$B$17-Table1[[#This Row],[Year Installed_WL]]</f>
        <v>9</v>
      </c>
      <c r="T8" s="20">
        <f>[1]Input_EUL_CRC_ERC!$B$17-(IF(Table1[[#This Row],[Year Last_Rehab_WL ]]=0,Table1[[#This Row],[Year Installed_WL]],[1]Input_EUL_CRC_ERC!$B$17-Table1[[#This Row],[Year Last_Rehab_WL ]]))</f>
        <v>9</v>
      </c>
      <c r="U8" s="20">
        <f>(VLOOKUP(Table1[[#This Row],[Item_Rehab_WL]],[1]Input_EUL_CRC_ERC!$C$17:$E$27,2,FALSE)-Table1[[#This Row],[Last Rehab Age]])</f>
        <v>6</v>
      </c>
      <c r="V8" s="26">
        <f>[1]Input_EUL_CRC_ERC!$B$17-Table1[[#This Row],[Year Installed_HP]]</f>
        <v>9</v>
      </c>
      <c r="W8" s="26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8" s="26">
        <f>[1]Input_EUL_CRC_ERC!$B$17-Table1[[#This Row],[Year Installed_PF]]</f>
        <v>9</v>
      </c>
      <c r="Y8" s="26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8" s="25">
        <f>IF(Table1[[#This Row],[Years_Next_Rehab_Well]]&lt;=0,VLOOKUP(Table1[[#This Row],[Item_Rehab_WL]],[1]!Table2[#All],3,FALSE),0)</f>
        <v>0</v>
      </c>
      <c r="AA8" s="25">
        <f>IF(Table1[[#This Row],[Adjusted_ULife_HP]]&lt;=0,VLOOKUP(Table1[[#This Row],[Item_Handpump]],[1]!Table2[#All],3,FALSE),0)</f>
        <v>0</v>
      </c>
      <c r="AB8" s="25">
        <f>IF(Table1[[#This Row],[Adjusted_ULife_PF]]&lt;=0,VLOOKUP(Table1[[#This Row],[Item_Platform]],[1]!Table2[#All],3,FALSE),0)</f>
        <v>0</v>
      </c>
      <c r="AC8" s="25">
        <f>SUM(Table1[[#This Row],[current yr_wl]:[current yr_pf]])</f>
        <v>0</v>
      </c>
      <c r="AD8" s="25">
        <f>IF(Table1[[#This Row],[Years_Next_Rehab_Well]]=1,VLOOKUP(Table1[[#This Row],[Item_Rehab_WL]],[1]!Table2[#All],4,FALSE),0)</f>
        <v>0</v>
      </c>
      <c r="AE8" s="25">
        <f>IF(Table1[[#This Row],[Adjusted_ULife_HP]]=1,VLOOKUP(Table1[[#This Row],[Item_Handpump]],[1]!Table2[#All],4,FALSE),0)</f>
        <v>0</v>
      </c>
      <c r="AF8" s="25">
        <f>IF(Table1[[#This Row],[Adjusted_ULife_PF]]=1,VLOOKUP(Table1[[#This Row],[Item_Platform]],[1]!Table2[#All],4,FALSE),0)</f>
        <v>0</v>
      </c>
      <c r="AG8" s="25">
        <f>SUM(Table1[[#This Row],[yr 1_wl]:[yr 1_pf]])</f>
        <v>0</v>
      </c>
      <c r="AH8" s="25">
        <f>IF(Table1[[#This Row],[Years_Next_Rehab_Well]]=2,VLOOKUP(Table1[[#This Row],[Item_Rehab_WL]],[1]!Table2[#All],5,FALSE),0)</f>
        <v>0</v>
      </c>
      <c r="AI8" s="25">
        <f>IF(Table1[[#This Row],[Adjusted_ULife_HP]]=2,VLOOKUP(Table1[[#This Row],[Item_Handpump]],[1]!Table2[#All],5,FALSE),0)</f>
        <v>0</v>
      </c>
      <c r="AJ8" s="25">
        <f>IF(Table1[[#This Row],[Adjusted_ULife_PF]]=2,VLOOKUP(Table1[[#This Row],[Item_Platform]],[1]!Table2[#All],5,FALSE),0)</f>
        <v>0</v>
      </c>
      <c r="AK8" s="25">
        <f>SUM(Table1[[#This Row],[yr 2_wl]:[yr 2_pf]])</f>
        <v>0</v>
      </c>
      <c r="AL8" s="25">
        <f>IF(Table1[[#This Row],[Years_Next_Rehab_Well]]=3,VLOOKUP(Table1[[#This Row],[Item_Rehab_WL]],[1]!Table2[#All],6,FALSE),0)</f>
        <v>0</v>
      </c>
      <c r="AM8" s="25">
        <f>IF(Table1[[#This Row],[Adjusted_ULife_HP]]=3,VLOOKUP(Table1[[#This Row],[Item_Handpump]],[1]!Table2[#All],6,FALSE),0)</f>
        <v>0</v>
      </c>
      <c r="AN8" s="25">
        <f>IF(Table1[[#This Row],[Adjusted_ULife_PF]]=3,VLOOKUP(Table1[[#This Row],[Item_Platform]],[1]!Table2[#All],6,FALSE),0)</f>
        <v>0</v>
      </c>
      <c r="AO8" s="25">
        <f>SUM(Table1[[#This Row],[yr 3_wl]:[yr 3_pf]])</f>
        <v>0</v>
      </c>
      <c r="AP8" s="25">
        <f>IF(Table1[[#This Row],[Years_Next_Rehab_Well]]=4,VLOOKUP(Table1[[#This Row],[Item_Rehab_WL]],[1]!Table2[#All],7,FALSE),0)</f>
        <v>0</v>
      </c>
      <c r="AQ8" s="25">
        <f>IF(Table1[[#This Row],[Adjusted_ULife_HP]]=4,VLOOKUP(Table1[[#This Row],[Item_Handpump]],[1]!Table2[#All],7,FALSE),0)</f>
        <v>0</v>
      </c>
      <c r="AR8" s="25">
        <f>IF(Table1[[#This Row],[Adjusted_ULife_PF]]=4,VLOOKUP(Table1[[#This Row],[Item_Platform]],[1]!Table2[#All],7,FALSE),0)</f>
        <v>0</v>
      </c>
      <c r="AS8" s="25">
        <f>SUM(Table1[[#This Row],[yr 4_wl]:[yr 4_pf]])</f>
        <v>0</v>
      </c>
      <c r="AT8" s="25">
        <f>IF(Table1[[#This Row],[Years_Next_Rehab_Well]]=5,VLOOKUP(Table1[[#This Row],[Item_Rehab_WL]],[1]!Table2[#All],8,FALSE),0)</f>
        <v>0</v>
      </c>
      <c r="AU8" s="25">
        <f>IF(Table1[[#This Row],[Adjusted_ULife_HP]]=5,VLOOKUP(Table1[[#This Row],[Item_Handpump]],[1]!Table2[#All],8,FALSE),0)</f>
        <v>0</v>
      </c>
      <c r="AV8" s="25">
        <f>IF(Table1[[#This Row],[Adjusted_ULife_PF]]=5,VLOOKUP(Table1[[#This Row],[Item_Platform]],[1]!Table2[#All],8,FALSE),0)</f>
        <v>0</v>
      </c>
      <c r="AW8" s="25">
        <f>SUM(Table1[[#This Row],[yr 5_wl]:[yr 5_pf]])</f>
        <v>0</v>
      </c>
      <c r="AX8" s="25">
        <f>IF(Table1[[#This Row],[Years_Next_Rehab_Well]]=6,VLOOKUP(Table1[[#This Row],[Item_Rehab_WL]],[1]!Table2[#All],9,FALSE),0)</f>
        <v>7237.3498456746702</v>
      </c>
      <c r="AY8" s="25">
        <f>IF(Table1[[#This Row],[Adjusted_ULife_HP]]=6,VLOOKUP(Table1[[#This Row],[Item_Handpump]],[1]!Table2[#All],9,FALSE),0)</f>
        <v>0</v>
      </c>
      <c r="AZ8" s="25">
        <f>IF(Table1[[#This Row],[Adjusted_ULife_PF]]=6,VLOOKUP(Table1[[#This Row],[Item_Platform]],[1]!Table2[#All],9,FALSE),0)</f>
        <v>2960.7340277760022</v>
      </c>
      <c r="BA8" s="25">
        <f>SUM(Table1[[#This Row],[yr 6_wl]:[yr 6_pf]])</f>
        <v>10198.083873450672</v>
      </c>
      <c r="BB8" s="25">
        <f>IF(Table1[[#This Row],[Years_Next_Rehab_Well]]=7,VLOOKUP(Table1[[#This Row],[Item_Rehab_WL]],[1]!Table2[#All],10,FALSE),0)</f>
        <v>0</v>
      </c>
      <c r="BC8" s="25">
        <f>IF(Table1[[#This Row],[Adjusted_ULife_HP]]=7,VLOOKUP(Table1[[#This Row],[Item_Handpump]],[1]!Table2[#All],10,FALSE),0)</f>
        <v>0</v>
      </c>
      <c r="BD8" s="25">
        <f>IF(Table1[[#This Row],[Adjusted_ULife_PF]]=7,VLOOKUP(Table1[[#This Row],[Item_Platform]],[1]!Table2[#All],10,FALSE),0)</f>
        <v>0</v>
      </c>
      <c r="BE8" s="25">
        <f>SUM(Table1[[#This Row],[yr 7_wl]:[yr 7_pf]])</f>
        <v>0</v>
      </c>
      <c r="BF8" s="25">
        <f>IF(Table1[[#This Row],[Years_Next_Rehab_Well]]=8,VLOOKUP(Table1[[#This Row],[Item_Rehab_WL]],[1]!Table2[#All],11,FALSE),0)</f>
        <v>0</v>
      </c>
      <c r="BG8" s="25">
        <f>IF(Table1[[#This Row],[Adjusted_ULife_HP]]=8,VLOOKUP(Table1[[#This Row],[Item_Handpump]],[1]!Table2[#All],11,FALSE),0)</f>
        <v>0</v>
      </c>
      <c r="BH8" s="25">
        <f>IF(Table1[[#This Row],[Adjusted_ULife_PF]]=8,VLOOKUP(Table1[[#This Row],[Item_Platform]],[1]!Table2[#All],11,FALSE),0)</f>
        <v>0</v>
      </c>
      <c r="BI8" s="25">
        <f>SUM(Table1[[#This Row],[yr 8_wl]:[yr 8_pf]])</f>
        <v>0</v>
      </c>
      <c r="BJ8" s="25">
        <f>IF(Table1[[#This Row],[Years_Next_Rehab_Well]]=9,VLOOKUP(Table1[[#This Row],[Item_Rehab_WL]],[1]!Table2[#All],12,FALSE),0)</f>
        <v>0</v>
      </c>
      <c r="BK8" s="25">
        <f>IF(Table1[[#This Row],[Adjusted_ULife_HP]]=9,VLOOKUP(Table1[[#This Row],[Item_Handpump]],[1]!Table2[#All],12,FALSE),0)</f>
        <v>0</v>
      </c>
      <c r="BL8" s="25">
        <f>IF(Table1[[#This Row],[Adjusted_ULife_PF]]=9,VLOOKUP(Table1[[#This Row],[Item_Platform]],[1]!Table2[#All],12,FALSE),0)</f>
        <v>0</v>
      </c>
      <c r="BM8" s="25">
        <f>SUM(Table1[[#This Row],[yr 9_wl]:[yr 9_pf]])</f>
        <v>0</v>
      </c>
      <c r="BN8" s="25">
        <f>IF(Table1[[#This Row],[Years_Next_Rehab_Well]]=10,VLOOKUP(Table1[[#This Row],[Item_Rehab_WL]],[1]!Table2[#All],13,FALSE),0)</f>
        <v>0</v>
      </c>
      <c r="BO8" s="25">
        <f>IF(Table1[[#This Row],[Adjusted_ULife_HP]]=10,VLOOKUP(Table1[[#This Row],[Item_Handpump]],[1]!Table2[#All],13,FALSE),0)</f>
        <v>0</v>
      </c>
      <c r="BP8" s="25">
        <f>IF(Table1[[#This Row],[Adjusted_ULife_PF]]=10,VLOOKUP(Table1[[#This Row],[Item_Platform]],[1]!Table2[#All],13,FALSE),0)</f>
        <v>0</v>
      </c>
      <c r="BQ8" s="25">
        <f>SUM(Table1[[#This Row],[yr 10_wl]:[yr 10_pf]])</f>
        <v>0</v>
      </c>
      <c r="BR8" s="25">
        <f>IF(Table1[[#This Row],[Years_Next_Rehab_Well]]=11,VLOOKUP(Table1[[#This Row],[Item_Rehab_WL]],[1]!Table2[#All],14,FALSE),0)</f>
        <v>0</v>
      </c>
      <c r="BS8" s="25">
        <f>IF(Table1[[#This Row],[Adjusted_ULife_HP]]=11,VLOOKUP(Table1[[#This Row],[Item_Handpump]],[1]!Table2[#All],14,FALSE),0)</f>
        <v>0</v>
      </c>
      <c r="BT8" s="25">
        <f>IF(Table1[[#This Row],[Adjusted_ULife_PF]]=11,VLOOKUP(Table1[[#This Row],[Item_Platform]],[1]!Table2[#All],14,FALSE),0)</f>
        <v>0</v>
      </c>
      <c r="BU8" s="25">
        <f>SUM(Table1[[#This Row],[yr 11_wl]:[yr 11_pf]])</f>
        <v>0</v>
      </c>
      <c r="BV8" s="25">
        <f>IF(Table1[[#This Row],[Years_Next_Rehab_Well]]=12,VLOOKUP(Table1[[#This Row],[Item_Rehab_WL]],[1]!Table2[#All],15,FALSE),0)</f>
        <v>0</v>
      </c>
      <c r="BW8" s="25">
        <f>IF(Table1[[#This Row],[Adjusted_ULife_HP]]=12,VLOOKUP(Table1[[#This Row],[Item_Handpump]],[1]!Table2[#All],15,FALSE),0)</f>
        <v>0</v>
      </c>
      <c r="BX8" s="25">
        <f>IF(Table1[[#This Row],[Adjusted_ULife_PF]]=12,VLOOKUP(Table1[[#This Row],[Item_Platform]],[1]!Table2[#All],15,FALSE),0)</f>
        <v>0</v>
      </c>
      <c r="BY8" s="25">
        <f>SUM(Table1[[#This Row],[yr 12_wl]:[yr 12_pf]])</f>
        <v>0</v>
      </c>
      <c r="BZ8" s="25">
        <f>IF(Table1[[#This Row],[Years_Next_Rehab_Well]]=13,VLOOKUP(Table1[[#This Row],[Item_Rehab_WL]],[1]!Table2[#All],16,FALSE),0)</f>
        <v>0</v>
      </c>
      <c r="CA8" s="25">
        <f>IF(Table1[[#This Row],[Adjusted_ULife_HP]]=13,VLOOKUP(Table1[[#This Row],[Item_Handpump]],[1]!Table2[#All],16,FALSE),0)</f>
        <v>0</v>
      </c>
      <c r="CB8" s="25">
        <f>IF(Table1[[#This Row],[Adjusted_ULife_PF]]=13,VLOOKUP(Table1[[#This Row],[Item_Platform]],[1]!Table2[#All],16,FALSE),0)</f>
        <v>0</v>
      </c>
      <c r="CC8" s="25">
        <f>SUM(Table1[[#This Row],[yr 13_wl]:[yr 13_pf]])</f>
        <v>0</v>
      </c>
      <c r="CD8" s="12"/>
    </row>
    <row r="9" spans="1:82" s="11" customFormat="1" x14ac:dyDescent="0.25">
      <c r="A9" s="11" t="str">
        <f>IF([1]Input_monitoring_data!A5="","",[1]Input_monitoring_data!A5)</f>
        <v>1da1-hna1-5</v>
      </c>
      <c r="B9" s="22" t="str">
        <f>[1]Input_monitoring_data!BH5</f>
        <v>Kenyasi No.2</v>
      </c>
      <c r="C9" s="22" t="str">
        <f>[1]Input_monitoring_data!BI5</f>
        <v>Yaro Grumakrom</v>
      </c>
      <c r="D9" s="22" t="str">
        <f>[1]Input_monitoring_data!P5</f>
        <v>7.016776997455287</v>
      </c>
      <c r="E9" s="22" t="str">
        <f>[1]Input_monitoring_data!Q5</f>
        <v>-2.38294071047293</v>
      </c>
      <c r="F9" s="22" t="str">
        <f>[1]Input_monitoring_data!V5</f>
        <v>Just By The Totuka Road Side</v>
      </c>
      <c r="G9" s="23" t="str">
        <f>[1]Input_monitoring_data!U5</f>
        <v>Borehole</v>
      </c>
      <c r="H9" s="22">
        <f>[1]Input_monitoring_data!X5</f>
        <v>2010</v>
      </c>
      <c r="I9" s="21" t="str">
        <f>[1]Input_monitoring_data!AB5</f>
        <v>Borehole redevelopment</v>
      </c>
      <c r="J9" s="21">
        <f>[1]Input_monitoring_data!AC5</f>
        <v>0</v>
      </c>
      <c r="K9" s="23" t="str">
        <f>[1]Input_monitoring_data!W5</f>
        <v>AfriDev</v>
      </c>
      <c r="L9" s="22">
        <f>[1]Input_monitoring_data!X5</f>
        <v>2010</v>
      </c>
      <c r="M9" s="21">
        <f>IF([1]Input_monitoring_data!BL5&gt;'Point Sources_Asset_Register_'!L9,[1]Input_monitoring_data!BL5,"")</f>
        <v>2017</v>
      </c>
      <c r="N9" s="22" t="str">
        <f>[1]Input_monitoring_data!BQ5</f>
        <v>partially functional</v>
      </c>
      <c r="O9" s="22">
        <f>[1]Input_monitoring_data!AJ5</f>
        <v>0</v>
      </c>
      <c r="P9" s="23" t="s">
        <v>0</v>
      </c>
      <c r="Q9" s="22">
        <f>L9</f>
        <v>2010</v>
      </c>
      <c r="R9" s="21">
        <f>M9</f>
        <v>2017</v>
      </c>
      <c r="S9" s="20">
        <f>[1]Input_EUL_CRC_ERC!$B$17-Table1[[#This Row],[Year Installed_WL]]</f>
        <v>7</v>
      </c>
      <c r="T9" s="20">
        <f>[1]Input_EUL_CRC_ERC!$B$17-(IF(Table1[[#This Row],[Year Last_Rehab_WL ]]=0,Table1[[#This Row],[Year Installed_WL]],[1]Input_EUL_CRC_ERC!$B$17-Table1[[#This Row],[Year Last_Rehab_WL ]]))</f>
        <v>7</v>
      </c>
      <c r="U9" s="20">
        <f>(VLOOKUP(Table1[[#This Row],[Item_Rehab_WL]],[1]Input_EUL_CRC_ERC!$C$17:$E$27,2,FALSE)-Table1[[#This Row],[Last Rehab Age]])</f>
        <v>8</v>
      </c>
      <c r="V9" s="26">
        <f>[1]Input_EUL_CRC_ERC!$B$17-Table1[[#This Row],[Year Installed_HP]]</f>
        <v>7</v>
      </c>
      <c r="W9" s="26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9" s="26">
        <f>[1]Input_EUL_CRC_ERC!$B$17-Table1[[#This Row],[Year Installed_PF]]</f>
        <v>7</v>
      </c>
      <c r="Y9" s="26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9" s="25">
        <f>IF(Table1[[#This Row],[Years_Next_Rehab_Well]]&lt;=0,VLOOKUP(Table1[[#This Row],[Item_Rehab_WL]],[1]!Table2[#All],3,FALSE),0)</f>
        <v>0</v>
      </c>
      <c r="AA9" s="25">
        <f>IF(Table1[[#This Row],[Adjusted_ULife_HP]]&lt;=0,VLOOKUP(Table1[[#This Row],[Item_Handpump]],[1]!Table2[#All],3,FALSE),0)</f>
        <v>0</v>
      </c>
      <c r="AB9" s="25">
        <f>IF(Table1[[#This Row],[Adjusted_ULife_PF]]&lt;=0,VLOOKUP(Table1[[#This Row],[Item_Platform]],[1]!Table2[#All],3,FALSE),0)</f>
        <v>0</v>
      </c>
      <c r="AC9" s="25">
        <f>SUM(Table1[[#This Row],[current yr_wl]:[current yr_pf]])</f>
        <v>0</v>
      </c>
      <c r="AD9" s="25">
        <f>IF(Table1[[#This Row],[Years_Next_Rehab_Well]]=1,VLOOKUP(Table1[[#This Row],[Item_Rehab_WL]],[1]!Table2[#All],4,FALSE),0)</f>
        <v>0</v>
      </c>
      <c r="AE9" s="25">
        <f>IF(Table1[[#This Row],[Adjusted_ULife_HP]]=1,VLOOKUP(Table1[[#This Row],[Item_Handpump]],[1]!Table2[#All],4,FALSE),0)</f>
        <v>0</v>
      </c>
      <c r="AF9" s="25">
        <f>IF(Table1[[#This Row],[Adjusted_ULife_PF]]=1,VLOOKUP(Table1[[#This Row],[Item_Platform]],[1]!Table2[#All],4,FALSE),0)</f>
        <v>0</v>
      </c>
      <c r="AG9" s="25">
        <f>SUM(Table1[[#This Row],[yr 1_wl]:[yr 1_pf]])</f>
        <v>0</v>
      </c>
      <c r="AH9" s="25">
        <f>IF(Table1[[#This Row],[Years_Next_Rehab_Well]]=2,VLOOKUP(Table1[[#This Row],[Item_Rehab_WL]],[1]!Table2[#All],5,FALSE),0)</f>
        <v>0</v>
      </c>
      <c r="AI9" s="25">
        <f>IF(Table1[[#This Row],[Adjusted_ULife_HP]]=2,VLOOKUP(Table1[[#This Row],[Item_Handpump]],[1]!Table2[#All],5,FALSE),0)</f>
        <v>0</v>
      </c>
      <c r="AJ9" s="25">
        <f>IF(Table1[[#This Row],[Adjusted_ULife_PF]]=2,VLOOKUP(Table1[[#This Row],[Item_Platform]],[1]!Table2[#All],5,FALSE),0)</f>
        <v>0</v>
      </c>
      <c r="AK9" s="25">
        <f>SUM(Table1[[#This Row],[yr 2_wl]:[yr 2_pf]])</f>
        <v>0</v>
      </c>
      <c r="AL9" s="25">
        <f>IF(Table1[[#This Row],[Years_Next_Rehab_Well]]=3,VLOOKUP(Table1[[#This Row],[Item_Rehab_WL]],[1]!Table2[#All],6,FALSE),0)</f>
        <v>0</v>
      </c>
      <c r="AM9" s="25">
        <f>IF(Table1[[#This Row],[Adjusted_ULife_HP]]=3,VLOOKUP(Table1[[#This Row],[Item_Handpump]],[1]!Table2[#All],6,FALSE),0)</f>
        <v>0</v>
      </c>
      <c r="AN9" s="25">
        <f>IF(Table1[[#This Row],[Adjusted_ULife_PF]]=3,VLOOKUP(Table1[[#This Row],[Item_Platform]],[1]!Table2[#All],6,FALSE),0)</f>
        <v>0</v>
      </c>
      <c r="AO9" s="25">
        <f>SUM(Table1[[#This Row],[yr 3_wl]:[yr 3_pf]])</f>
        <v>0</v>
      </c>
      <c r="AP9" s="25">
        <f>IF(Table1[[#This Row],[Years_Next_Rehab_Well]]=4,VLOOKUP(Table1[[#This Row],[Item_Rehab_WL]],[1]!Table2[#All],7,FALSE),0)</f>
        <v>0</v>
      </c>
      <c r="AQ9" s="25">
        <f>IF(Table1[[#This Row],[Adjusted_ULife_HP]]=4,VLOOKUP(Table1[[#This Row],[Item_Handpump]],[1]!Table2[#All],7,FALSE),0)</f>
        <v>0</v>
      </c>
      <c r="AR9" s="25">
        <f>IF(Table1[[#This Row],[Adjusted_ULife_PF]]=4,VLOOKUP(Table1[[#This Row],[Item_Platform]],[1]!Table2[#All],7,FALSE),0)</f>
        <v>0</v>
      </c>
      <c r="AS9" s="25">
        <f>SUM(Table1[[#This Row],[yr 4_wl]:[yr 4_pf]])</f>
        <v>0</v>
      </c>
      <c r="AT9" s="25">
        <f>IF(Table1[[#This Row],[Years_Next_Rehab_Well]]=5,VLOOKUP(Table1[[#This Row],[Item_Rehab_WL]],[1]!Table2[#All],8,FALSE),0)</f>
        <v>0</v>
      </c>
      <c r="AU9" s="25">
        <f>IF(Table1[[#This Row],[Adjusted_ULife_HP]]=5,VLOOKUP(Table1[[#This Row],[Item_Handpump]],[1]!Table2[#All],8,FALSE),0)</f>
        <v>0</v>
      </c>
      <c r="AV9" s="25">
        <f>IF(Table1[[#This Row],[Adjusted_ULife_PF]]=5,VLOOKUP(Table1[[#This Row],[Item_Platform]],[1]!Table2[#All],8,FALSE),0)</f>
        <v>0</v>
      </c>
      <c r="AW9" s="25">
        <f>SUM(Table1[[#This Row],[yr 5_wl]:[yr 5_pf]])</f>
        <v>0</v>
      </c>
      <c r="AX9" s="25">
        <f>IF(Table1[[#This Row],[Years_Next_Rehab_Well]]=6,VLOOKUP(Table1[[#This Row],[Item_Rehab_WL]],[1]!Table2[#All],9,FALSE),0)</f>
        <v>0</v>
      </c>
      <c r="AY9" s="25">
        <f>IF(Table1[[#This Row],[Adjusted_ULife_HP]]=6,VLOOKUP(Table1[[#This Row],[Item_Handpump]],[1]!Table2[#All],9,FALSE),0)</f>
        <v>0</v>
      </c>
      <c r="AZ9" s="25">
        <f>IF(Table1[[#This Row],[Adjusted_ULife_PF]]=6,VLOOKUP(Table1[[#This Row],[Item_Platform]],[1]!Table2[#All],9,FALSE),0)</f>
        <v>0</v>
      </c>
      <c r="BA9" s="25">
        <f>SUM(Table1[[#This Row],[yr 6_wl]:[yr 6_pf]])</f>
        <v>0</v>
      </c>
      <c r="BB9" s="25">
        <f>IF(Table1[[#This Row],[Years_Next_Rehab_Well]]=7,VLOOKUP(Table1[[#This Row],[Item_Rehab_WL]],[1]!Table2[#All],10,FALSE),0)</f>
        <v>0</v>
      </c>
      <c r="BC9" s="25">
        <f>IF(Table1[[#This Row],[Adjusted_ULife_HP]]=7,VLOOKUP(Table1[[#This Row],[Item_Handpump]],[1]!Table2[#All],10,FALSE),0)</f>
        <v>0</v>
      </c>
      <c r="BD9" s="25">
        <f>IF(Table1[[#This Row],[Adjusted_ULife_PF]]=7,VLOOKUP(Table1[[#This Row],[Item_Platform]],[1]!Table2[#All],10,FALSE),0)</f>
        <v>0</v>
      </c>
      <c r="BE9" s="25">
        <f>SUM(Table1[[#This Row],[yr 7_wl]:[yr 7_pf]])</f>
        <v>0</v>
      </c>
      <c r="BF9" s="25">
        <f>IF(Table1[[#This Row],[Years_Next_Rehab_Well]]=8,VLOOKUP(Table1[[#This Row],[Item_Rehab_WL]],[1]!Table2[#All],11,FALSE),0)</f>
        <v>9078.5316464143089</v>
      </c>
      <c r="BG9" s="25">
        <f>IF(Table1[[#This Row],[Adjusted_ULife_HP]]=8,VLOOKUP(Table1[[#This Row],[Item_Handpump]],[1]!Table2[#All],11,FALSE),0)</f>
        <v>0</v>
      </c>
      <c r="BH9" s="25">
        <f>IF(Table1[[#This Row],[Adjusted_ULife_PF]]=8,VLOOKUP(Table1[[#This Row],[Item_Platform]],[1]!Table2[#All],11,FALSE),0)</f>
        <v>0</v>
      </c>
      <c r="BI9" s="25">
        <f>SUM(Table1[[#This Row],[yr 8_wl]:[yr 8_pf]])</f>
        <v>9078.5316464143089</v>
      </c>
      <c r="BJ9" s="25">
        <f>IF(Table1[[#This Row],[Years_Next_Rehab_Well]]=9,VLOOKUP(Table1[[#This Row],[Item_Rehab_WL]],[1]!Table2[#All],12,FALSE),0)</f>
        <v>0</v>
      </c>
      <c r="BK9" s="25">
        <f>IF(Table1[[#This Row],[Adjusted_ULife_HP]]=9,VLOOKUP(Table1[[#This Row],[Item_Handpump]],[1]!Table2[#All],12,FALSE),0)</f>
        <v>0</v>
      </c>
      <c r="BL9" s="25">
        <f>IF(Table1[[#This Row],[Adjusted_ULife_PF]]=9,VLOOKUP(Table1[[#This Row],[Item_Platform]],[1]!Table2[#All],12,FALSE),0)</f>
        <v>0</v>
      </c>
      <c r="BM9" s="25">
        <f>SUM(Table1[[#This Row],[yr 9_wl]:[yr 9_pf]])</f>
        <v>0</v>
      </c>
      <c r="BN9" s="25">
        <f>IF(Table1[[#This Row],[Years_Next_Rehab_Well]]=10,VLOOKUP(Table1[[#This Row],[Item_Rehab_WL]],[1]!Table2[#All],13,FALSE),0)</f>
        <v>0</v>
      </c>
      <c r="BO9" s="25">
        <f>IF(Table1[[#This Row],[Adjusted_ULife_HP]]=10,VLOOKUP(Table1[[#This Row],[Item_Handpump]],[1]!Table2[#All],13,FALSE),0)</f>
        <v>0</v>
      </c>
      <c r="BP9" s="25">
        <f>IF(Table1[[#This Row],[Adjusted_ULife_PF]]=10,VLOOKUP(Table1[[#This Row],[Item_Platform]],[1]!Table2[#All],13,FALSE),0)</f>
        <v>4658.7723125163184</v>
      </c>
      <c r="BQ9" s="25">
        <f>SUM(Table1[[#This Row],[yr 10_wl]:[yr 10_pf]])</f>
        <v>4658.7723125163184</v>
      </c>
      <c r="BR9" s="25">
        <f>IF(Table1[[#This Row],[Years_Next_Rehab_Well]]=11,VLOOKUP(Table1[[#This Row],[Item_Rehab_WL]],[1]!Table2[#All],14,FALSE),0)</f>
        <v>0</v>
      </c>
      <c r="BS9" s="25">
        <f>IF(Table1[[#This Row],[Adjusted_ULife_HP]]=11,VLOOKUP(Table1[[#This Row],[Item_Handpump]],[1]!Table2[#All],14,FALSE),0)</f>
        <v>0</v>
      </c>
      <c r="BT9" s="25">
        <f>IF(Table1[[#This Row],[Adjusted_ULife_PF]]=11,VLOOKUP(Table1[[#This Row],[Item_Platform]],[1]!Table2[#All],14,FALSE),0)</f>
        <v>0</v>
      </c>
      <c r="BU9" s="25">
        <f>SUM(Table1[[#This Row],[yr 11_wl]:[yr 11_pf]])</f>
        <v>0</v>
      </c>
      <c r="BV9" s="25">
        <f>IF(Table1[[#This Row],[Years_Next_Rehab_Well]]=12,VLOOKUP(Table1[[#This Row],[Item_Rehab_WL]],[1]!Table2[#All],15,FALSE),0)</f>
        <v>0</v>
      </c>
      <c r="BW9" s="25">
        <f>IF(Table1[[#This Row],[Adjusted_ULife_HP]]=12,VLOOKUP(Table1[[#This Row],[Item_Handpump]],[1]!Table2[#All],15,FALSE),0)</f>
        <v>0</v>
      </c>
      <c r="BX9" s="25">
        <f>IF(Table1[[#This Row],[Adjusted_ULife_PF]]=12,VLOOKUP(Table1[[#This Row],[Item_Platform]],[1]!Table2[#All],15,FALSE),0)</f>
        <v>0</v>
      </c>
      <c r="BY9" s="25">
        <f>SUM(Table1[[#This Row],[yr 12_wl]:[yr 12_pf]])</f>
        <v>0</v>
      </c>
      <c r="BZ9" s="25">
        <f>IF(Table1[[#This Row],[Years_Next_Rehab_Well]]=13,VLOOKUP(Table1[[#This Row],[Item_Rehab_WL]],[1]!Table2[#All],16,FALSE),0)</f>
        <v>0</v>
      </c>
      <c r="CA9" s="25">
        <f>IF(Table1[[#This Row],[Adjusted_ULife_HP]]=13,VLOOKUP(Table1[[#This Row],[Item_Handpump]],[1]!Table2[#All],16,FALSE),0)</f>
        <v>0</v>
      </c>
      <c r="CB9" s="25">
        <f>IF(Table1[[#This Row],[Adjusted_ULife_PF]]=13,VLOOKUP(Table1[[#This Row],[Item_Platform]],[1]!Table2[#All],16,FALSE),0)</f>
        <v>0</v>
      </c>
      <c r="CC9" s="25">
        <f>SUM(Table1[[#This Row],[yr 13_wl]:[yr 13_pf]])</f>
        <v>0</v>
      </c>
      <c r="CD9" s="12"/>
    </row>
    <row r="10" spans="1:82" s="11" customFormat="1" x14ac:dyDescent="0.25">
      <c r="A10" s="11" t="str">
        <f>IF([1]Input_monitoring_data!A6="","",[1]Input_monitoring_data!A6)</f>
        <v>1e7m-dn61-gcs0</v>
      </c>
      <c r="B10" s="22" t="str">
        <f>[1]Input_monitoring_data!BH6</f>
        <v>GAMBIA</v>
      </c>
      <c r="C10" s="22" t="str">
        <f>[1]Input_monitoring_data!BI6</f>
        <v>KRAKYEKROM</v>
      </c>
      <c r="D10" s="22" t="str">
        <f>[1]Input_monitoring_data!P6</f>
        <v>7.03186357</v>
      </c>
      <c r="E10" s="22" t="str">
        <f>[1]Input_monitoring_data!Q6</f>
        <v>-2.7283243</v>
      </c>
      <c r="F10" s="22" t="str">
        <f>[1]Input_monitoring_data!V6</f>
        <v>Just behind the sign post of Maame Akwafoa</v>
      </c>
      <c r="G10" s="23" t="str">
        <f>[1]Input_monitoring_data!U6</f>
        <v>Borehole</v>
      </c>
      <c r="H10" s="22">
        <f>[1]Input_monitoring_data!X6</f>
        <v>2017</v>
      </c>
      <c r="I10" s="21" t="str">
        <f>[1]Input_monitoring_data!AB6</f>
        <v>Borehole redevelopment</v>
      </c>
      <c r="J10" s="21">
        <f>[1]Input_monitoring_data!AC6</f>
        <v>0</v>
      </c>
      <c r="K10" s="23" t="str">
        <f>[1]Input_monitoring_data!W6</f>
        <v>AfriDev</v>
      </c>
      <c r="L10" s="22">
        <f>[1]Input_monitoring_data!X6</f>
        <v>2017</v>
      </c>
      <c r="M10" s="21" t="str">
        <f>IF([1]Input_monitoring_data!BL6&gt;'Point Sources_Asset_Register_'!L10,[1]Input_monitoring_data!BL6,"")</f>
        <v/>
      </c>
      <c r="N10" s="22" t="str">
        <f>[1]Input_monitoring_data!BQ6</f>
        <v>functional</v>
      </c>
      <c r="O10" s="22">
        <f>[1]Input_monitoring_data!AJ6</f>
        <v>0</v>
      </c>
      <c r="P10" s="23" t="s">
        <v>0</v>
      </c>
      <c r="Q10" s="22">
        <f>L10</f>
        <v>2017</v>
      </c>
      <c r="R10" s="21" t="str">
        <f>M10</f>
        <v/>
      </c>
      <c r="S10" s="20">
        <f>[1]Input_EUL_CRC_ERC!$B$17-Table1[[#This Row],[Year Installed_WL]]</f>
        <v>0</v>
      </c>
      <c r="T10" s="20">
        <f>[1]Input_EUL_CRC_ERC!$B$17-(IF(Table1[[#This Row],[Year Last_Rehab_WL ]]=0,Table1[[#This Row],[Year Installed_WL]],[1]Input_EUL_CRC_ERC!$B$17-Table1[[#This Row],[Year Last_Rehab_WL ]]))</f>
        <v>0</v>
      </c>
      <c r="U10" s="20">
        <f>(VLOOKUP(Table1[[#This Row],[Item_Rehab_WL]],[1]Input_EUL_CRC_ERC!$C$17:$E$27,2,FALSE)-Table1[[#This Row],[Last Rehab Age]])</f>
        <v>15</v>
      </c>
      <c r="V10" s="19">
        <f>[1]Input_EUL_CRC_ERC!$B$17-Table1[[#This Row],[Year Installed_HP]]</f>
        <v>0</v>
      </c>
      <c r="W10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0" s="19">
        <f>[1]Input_EUL_CRC_ERC!$B$17-Table1[[#This Row],[Year Installed_PF]]</f>
        <v>0</v>
      </c>
      <c r="Y10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0" s="25">
        <f>IF(Table1[[#This Row],[Years_Next_Rehab_Well]]&lt;=0,VLOOKUP(Table1[[#This Row],[Item_Rehab_WL]],[1]!Table2[#All],3,FALSE),0)</f>
        <v>0</v>
      </c>
      <c r="AA10" s="18">
        <f>IF(Table1[[#This Row],[Adjusted_ULife_HP]]&lt;=0,VLOOKUP(Table1[[#This Row],[Item_Handpump]],[1]!Table2[#All],3,FALSE),0)</f>
        <v>0</v>
      </c>
      <c r="AB10" s="18">
        <f>IF(Table1[[#This Row],[Adjusted_ULife_PF]]&lt;=0,VLOOKUP(Table1[[#This Row],[Item_Platform]],[1]!Table2[#All],3,FALSE),0)</f>
        <v>0</v>
      </c>
      <c r="AC10" s="18">
        <f>SUM(Table1[[#This Row],[current yr_wl]:[current yr_pf]])</f>
        <v>0</v>
      </c>
      <c r="AD10" s="25">
        <f>IF(Table1[[#This Row],[Years_Next_Rehab_Well]]=1,VLOOKUP(Table1[[#This Row],[Item_Rehab_WL]],[1]!Table2[#All],4,FALSE),0)</f>
        <v>0</v>
      </c>
      <c r="AE10" s="25">
        <f>IF(Table1[[#This Row],[Adjusted_ULife_HP]]=1,VLOOKUP(Table1[[#This Row],[Item_Handpump]],[1]!Table2[#All],4,FALSE),0)</f>
        <v>0</v>
      </c>
      <c r="AF10" s="25">
        <f>IF(Table1[[#This Row],[Adjusted_ULife_PF]]=1,VLOOKUP(Table1[[#This Row],[Item_Platform]],[1]!Table2[#All],4,FALSE),0)</f>
        <v>0</v>
      </c>
      <c r="AG10" s="25">
        <f>SUM(Table1[[#This Row],[yr 1_wl]:[yr 1_pf]])</f>
        <v>0</v>
      </c>
      <c r="AH10" s="25">
        <f>IF(Table1[[#This Row],[Years_Next_Rehab_Well]]=2,VLOOKUP(Table1[[#This Row],[Item_Rehab_WL]],[1]!Table2[#All],5,FALSE),0)</f>
        <v>0</v>
      </c>
      <c r="AI10" s="25">
        <f>IF(Table1[[#This Row],[Adjusted_ULife_HP]]=2,VLOOKUP(Table1[[#This Row],[Item_Handpump]],[1]!Table2[#All],5,FALSE),0)</f>
        <v>0</v>
      </c>
      <c r="AJ10" s="25">
        <f>IF(Table1[[#This Row],[Adjusted_ULife_PF]]=2,VLOOKUP(Table1[[#This Row],[Item_Platform]],[1]!Table2[#All],5,FALSE),0)</f>
        <v>0</v>
      </c>
      <c r="AK10" s="25">
        <f>SUM(Table1[[#This Row],[yr 2_wl]:[yr 2_pf]])</f>
        <v>0</v>
      </c>
      <c r="AL10" s="25">
        <f>IF(Table1[[#This Row],[Years_Next_Rehab_Well]]=3,VLOOKUP(Table1[[#This Row],[Item_Rehab_WL]],[1]!Table2[#All],6,FALSE),0)</f>
        <v>0</v>
      </c>
      <c r="AM10" s="25">
        <f>IF(Table1[[#This Row],[Adjusted_ULife_HP]]=3,VLOOKUP(Table1[[#This Row],[Item_Handpump]],[1]!Table2[#All],6,FALSE),0)</f>
        <v>0</v>
      </c>
      <c r="AN10" s="25">
        <f>IF(Table1[[#This Row],[Adjusted_ULife_PF]]=3,VLOOKUP(Table1[[#This Row],[Item_Platform]],[1]!Table2[#All],6,FALSE),0)</f>
        <v>0</v>
      </c>
      <c r="AO10" s="25">
        <f>SUM(Table1[[#This Row],[yr 3_wl]:[yr 3_pf]])</f>
        <v>0</v>
      </c>
      <c r="AP10" s="25">
        <f>IF(Table1[[#This Row],[Years_Next_Rehab_Well]]=4,VLOOKUP(Table1[[#This Row],[Item_Rehab_WL]],[1]!Table2[#All],7,FALSE),0)</f>
        <v>0</v>
      </c>
      <c r="AQ10" s="25">
        <f>IF(Table1[[#This Row],[Adjusted_ULife_HP]]=4,VLOOKUP(Table1[[#This Row],[Item_Handpump]],[1]!Table2[#All],7,FALSE),0)</f>
        <v>0</v>
      </c>
      <c r="AR10" s="25">
        <f>IF(Table1[[#This Row],[Adjusted_ULife_PF]]=4,VLOOKUP(Table1[[#This Row],[Item_Platform]],[1]!Table2[#All],7,FALSE),0)</f>
        <v>0</v>
      </c>
      <c r="AS10" s="25">
        <f>SUM(Table1[[#This Row],[yr 4_wl]:[yr 4_pf]])</f>
        <v>0</v>
      </c>
      <c r="AT10" s="25">
        <f>IF(Table1[[#This Row],[Years_Next_Rehab_Well]]=5,VLOOKUP(Table1[[#This Row],[Item_Rehab_WL]],[1]!Table2[#All],8,FALSE),0)</f>
        <v>0</v>
      </c>
      <c r="AU10" s="25">
        <f>IF(Table1[[#This Row],[Adjusted_ULife_HP]]=5,VLOOKUP(Table1[[#This Row],[Item_Handpump]],[1]!Table2[#All],8,FALSE),0)</f>
        <v>0</v>
      </c>
      <c r="AV10" s="25">
        <f>IF(Table1[[#This Row],[Adjusted_ULife_PF]]=5,VLOOKUP(Table1[[#This Row],[Item_Platform]],[1]!Table2[#All],8,FALSE),0)</f>
        <v>0</v>
      </c>
      <c r="AW10" s="25">
        <f>SUM(Table1[[#This Row],[yr 5_wl]:[yr 5_pf]])</f>
        <v>0</v>
      </c>
      <c r="AX10" s="25">
        <f>IF(Table1[[#This Row],[Years_Next_Rehab_Well]]=6,VLOOKUP(Table1[[#This Row],[Item_Rehab_WL]],[1]!Table2[#All],9,FALSE),0)</f>
        <v>0</v>
      </c>
      <c r="AY10" s="25">
        <f>IF(Table1[[#This Row],[Adjusted_ULife_HP]]=6,VLOOKUP(Table1[[#This Row],[Item_Handpump]],[1]!Table2[#All],9,FALSE),0)</f>
        <v>0</v>
      </c>
      <c r="AZ10" s="25">
        <f>IF(Table1[[#This Row],[Adjusted_ULife_PF]]=6,VLOOKUP(Table1[[#This Row],[Item_Platform]],[1]!Table2[#All],9,FALSE),0)</f>
        <v>0</v>
      </c>
      <c r="BA10" s="25">
        <f>SUM(Table1[[#This Row],[yr 6_wl]:[yr 6_pf]])</f>
        <v>0</v>
      </c>
      <c r="BB10" s="25">
        <f>IF(Table1[[#This Row],[Years_Next_Rehab_Well]]=7,VLOOKUP(Table1[[#This Row],[Item_Rehab_WL]],[1]!Table2[#All],10,FALSE),0)</f>
        <v>0</v>
      </c>
      <c r="BC10" s="25">
        <f>IF(Table1[[#This Row],[Adjusted_ULife_HP]]=7,VLOOKUP(Table1[[#This Row],[Item_Handpump]],[1]!Table2[#All],10,FALSE),0)</f>
        <v>0</v>
      </c>
      <c r="BD10" s="25">
        <f>IF(Table1[[#This Row],[Adjusted_ULife_PF]]=7,VLOOKUP(Table1[[#This Row],[Item_Platform]],[1]!Table2[#All],10,FALSE),0)</f>
        <v>0</v>
      </c>
      <c r="BE10" s="25">
        <f>SUM(Table1[[#This Row],[yr 7_wl]:[yr 7_pf]])</f>
        <v>0</v>
      </c>
      <c r="BF10" s="25">
        <f>IF(Table1[[#This Row],[Years_Next_Rehab_Well]]=8,VLOOKUP(Table1[[#This Row],[Item_Rehab_WL]],[1]!Table2[#All],11,FALSE),0)</f>
        <v>0</v>
      </c>
      <c r="BG10" s="25">
        <f>IF(Table1[[#This Row],[Adjusted_ULife_HP]]=8,VLOOKUP(Table1[[#This Row],[Item_Handpump]],[1]!Table2[#All],11,FALSE),0)</f>
        <v>0</v>
      </c>
      <c r="BH10" s="25">
        <f>IF(Table1[[#This Row],[Adjusted_ULife_PF]]=8,VLOOKUP(Table1[[#This Row],[Item_Platform]],[1]!Table2[#All],11,FALSE),0)</f>
        <v>0</v>
      </c>
      <c r="BI10" s="25">
        <f>SUM(Table1[[#This Row],[yr 8_wl]:[yr 8_pf]])</f>
        <v>0</v>
      </c>
      <c r="BJ10" s="25">
        <f>IF(Table1[[#This Row],[Years_Next_Rehab_Well]]=9,VLOOKUP(Table1[[#This Row],[Item_Rehab_WL]],[1]!Table2[#All],12,FALSE),0)</f>
        <v>0</v>
      </c>
      <c r="BK10" s="25">
        <f>IF(Table1[[#This Row],[Adjusted_ULife_HP]]=9,VLOOKUP(Table1[[#This Row],[Item_Handpump]],[1]!Table2[#All],12,FALSE),0)</f>
        <v>0</v>
      </c>
      <c r="BL10" s="25">
        <f>IF(Table1[[#This Row],[Adjusted_ULife_PF]]=9,VLOOKUP(Table1[[#This Row],[Item_Platform]],[1]!Table2[#All],12,FALSE),0)</f>
        <v>0</v>
      </c>
      <c r="BM10" s="25">
        <f>SUM(Table1[[#This Row],[yr 9_wl]:[yr 9_pf]])</f>
        <v>0</v>
      </c>
      <c r="BN10" s="25">
        <f>IF(Table1[[#This Row],[Years_Next_Rehab_Well]]=10,VLOOKUP(Table1[[#This Row],[Item_Rehab_WL]],[1]!Table2[#All],13,FALSE),0)</f>
        <v>0</v>
      </c>
      <c r="BO10" s="25">
        <f>IF(Table1[[#This Row],[Adjusted_ULife_HP]]=10,VLOOKUP(Table1[[#This Row],[Item_Handpump]],[1]!Table2[#All],13,FALSE),0)</f>
        <v>0</v>
      </c>
      <c r="BP10" s="25">
        <f>IF(Table1[[#This Row],[Adjusted_ULife_PF]]=10,VLOOKUP(Table1[[#This Row],[Item_Platform]],[1]!Table2[#All],13,FALSE),0)</f>
        <v>4658.7723125163184</v>
      </c>
      <c r="BQ10" s="25">
        <f>SUM(Table1[[#This Row],[yr 10_wl]:[yr 10_pf]])</f>
        <v>4658.7723125163184</v>
      </c>
      <c r="BR10" s="25">
        <f>IF(Table1[[#This Row],[Years_Next_Rehab_Well]]=11,VLOOKUP(Table1[[#This Row],[Item_Rehab_WL]],[1]!Table2[#All],14,FALSE),0)</f>
        <v>0</v>
      </c>
      <c r="BS10" s="25">
        <f>IF(Table1[[#This Row],[Adjusted_ULife_HP]]=11,VLOOKUP(Table1[[#This Row],[Item_Handpump]],[1]!Table2[#All],14,FALSE),0)</f>
        <v>0</v>
      </c>
      <c r="BT10" s="25">
        <f>IF(Table1[[#This Row],[Adjusted_ULife_PF]]=11,VLOOKUP(Table1[[#This Row],[Item_Platform]],[1]!Table2[#All],14,FALSE),0)</f>
        <v>0</v>
      </c>
      <c r="BU10" s="25">
        <f>SUM(Table1[[#This Row],[yr 11_wl]:[yr 11_pf]])</f>
        <v>0</v>
      </c>
      <c r="BV10" s="25">
        <f>IF(Table1[[#This Row],[Years_Next_Rehab_Well]]=12,VLOOKUP(Table1[[#This Row],[Item_Rehab_WL]],[1]!Table2[#All],15,FALSE),0)</f>
        <v>0</v>
      </c>
      <c r="BW10" s="25">
        <f>IF(Table1[[#This Row],[Adjusted_ULife_HP]]=12,VLOOKUP(Table1[[#This Row],[Item_Handpump]],[1]!Table2[#All],15,FALSE),0)</f>
        <v>0</v>
      </c>
      <c r="BX10" s="25">
        <f>IF(Table1[[#This Row],[Adjusted_ULife_PF]]=12,VLOOKUP(Table1[[#This Row],[Item_Platform]],[1]!Table2[#All],15,FALSE),0)</f>
        <v>0</v>
      </c>
      <c r="BY10" s="25">
        <f>SUM(Table1[[#This Row],[yr 12_wl]:[yr 12_pf]])</f>
        <v>0</v>
      </c>
      <c r="BZ10" s="25">
        <f>IF(Table1[[#This Row],[Years_Next_Rehab_Well]]=13,VLOOKUP(Table1[[#This Row],[Item_Rehab_WL]],[1]!Table2[#All],16,FALSE),0)</f>
        <v>0</v>
      </c>
      <c r="CA10" s="25">
        <f>IF(Table1[[#This Row],[Adjusted_ULife_HP]]=13,VLOOKUP(Table1[[#This Row],[Item_Handpump]],[1]!Table2[#All],16,FALSE),0)</f>
        <v>0</v>
      </c>
      <c r="CB10" s="25">
        <f>IF(Table1[[#This Row],[Adjusted_ULife_PF]]=13,VLOOKUP(Table1[[#This Row],[Item_Platform]],[1]!Table2[#All],16,FALSE),0)</f>
        <v>0</v>
      </c>
      <c r="CC10" s="25">
        <f>SUM(Table1[[#This Row],[yr 13_wl]:[yr 13_pf]])</f>
        <v>0</v>
      </c>
      <c r="CD10" s="12"/>
    </row>
    <row r="11" spans="1:82" s="11" customFormat="1" x14ac:dyDescent="0.25">
      <c r="A11" s="11" t="str">
        <f>IF([1]Input_monitoring_data!A7="","",[1]Input_monitoring_data!A7)</f>
        <v>1g4m-gyjy-s3v</v>
      </c>
      <c r="B11" s="22" t="str">
        <f>[1]Input_monitoring_data!BH7</f>
        <v>Kenyasi No.2</v>
      </c>
      <c r="C11" s="22" t="str">
        <f>[1]Input_monitoring_data!BI7</f>
        <v>Acheampongkrom</v>
      </c>
      <c r="D11" s="22" t="str">
        <f>[1]Input_monitoring_data!P7</f>
        <v>7.061857429098878</v>
      </c>
      <c r="E11" s="22" t="str">
        <f>[1]Input_monitoring_data!Q7</f>
        <v>-2.3978681437315204</v>
      </c>
      <c r="F11" s="22" t="str">
        <f>[1]Input_monitoring_data!V7</f>
        <v>Agya Akwasi Pong Coaco Farm</v>
      </c>
      <c r="G11" s="23" t="str">
        <f>[1]Input_monitoring_data!U7</f>
        <v>Borehole</v>
      </c>
      <c r="H11" s="22">
        <f>[1]Input_monitoring_data!X7</f>
        <v>2005</v>
      </c>
      <c r="I11" s="21" t="str">
        <f>[1]Input_monitoring_data!AB7</f>
        <v>Borehole redevelopment</v>
      </c>
      <c r="J11" s="21">
        <f>[1]Input_monitoring_data!AC7</f>
        <v>0</v>
      </c>
      <c r="K11" s="23" t="str">
        <f>[1]Input_monitoring_data!W7</f>
        <v>AfriDev</v>
      </c>
      <c r="L11" s="22">
        <f>[1]Input_monitoring_data!X7</f>
        <v>2005</v>
      </c>
      <c r="M11" s="21">
        <f>IF([1]Input_monitoring_data!BL7&gt;'Point Sources_Asset_Register_'!L11,[1]Input_monitoring_data!BL7,"")</f>
        <v>2016</v>
      </c>
      <c r="N11" s="22" t="str">
        <f>[1]Input_monitoring_data!BQ7</f>
        <v>not functional</v>
      </c>
      <c r="O11" s="22">
        <f>[1]Input_monitoring_data!AJ7</f>
        <v>0</v>
      </c>
      <c r="P11" s="23" t="s">
        <v>0</v>
      </c>
      <c r="Q11" s="22">
        <f>L11</f>
        <v>2005</v>
      </c>
      <c r="R11" s="21">
        <f>M11</f>
        <v>2016</v>
      </c>
      <c r="S11" s="20">
        <f>[1]Input_EUL_CRC_ERC!$B$17-Table1[[#This Row],[Year Installed_WL]]</f>
        <v>12</v>
      </c>
      <c r="T11" s="20">
        <f>[1]Input_EUL_CRC_ERC!$B$17-(IF(Table1[[#This Row],[Year Last_Rehab_WL ]]=0,Table1[[#This Row],[Year Installed_WL]],[1]Input_EUL_CRC_ERC!$B$17-Table1[[#This Row],[Year Last_Rehab_WL ]]))</f>
        <v>12</v>
      </c>
      <c r="U11" s="20">
        <f>(VLOOKUP(Table1[[#This Row],[Item_Rehab_WL]],[1]Input_EUL_CRC_ERC!$C$17:$E$27,2,FALSE)-Table1[[#This Row],[Last Rehab Age]])</f>
        <v>3</v>
      </c>
      <c r="V11" s="19">
        <f>[1]Input_EUL_CRC_ERC!$B$17-Table1[[#This Row],[Year Installed_HP]]</f>
        <v>12</v>
      </c>
      <c r="W11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1" s="19">
        <f>[1]Input_EUL_CRC_ERC!$B$17-Table1[[#This Row],[Year Installed_PF]]</f>
        <v>12</v>
      </c>
      <c r="Y11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1" s="25">
        <f>IF(Table1[[#This Row],[Years_Next_Rehab_Well]]&lt;=0,VLOOKUP(Table1[[#This Row],[Item_Rehab_WL]],[1]!Table2[#All],3,FALSE),0)</f>
        <v>0</v>
      </c>
      <c r="AA11" s="18">
        <f>IF(Table1[[#This Row],[Adjusted_ULife_HP]]&lt;=0,VLOOKUP(Table1[[#This Row],[Item_Handpump]],[1]!Table2[#All],3,FALSE),0)</f>
        <v>0</v>
      </c>
      <c r="AB11" s="18">
        <f>IF(Table1[[#This Row],[Adjusted_ULife_PF]]&lt;=0,VLOOKUP(Table1[[#This Row],[Item_Platform]],[1]!Table2[#All],3,FALSE),0)</f>
        <v>0</v>
      </c>
      <c r="AC11" s="18">
        <f>SUM(Table1[[#This Row],[current yr_wl]:[current yr_pf]])</f>
        <v>0</v>
      </c>
      <c r="AD11" s="25">
        <f>IF(Table1[[#This Row],[Years_Next_Rehab_Well]]=1,VLOOKUP(Table1[[#This Row],[Item_Rehab_WL]],[1]!Table2[#All],4,FALSE),0)</f>
        <v>0</v>
      </c>
      <c r="AE11" s="25">
        <f>IF(Table1[[#This Row],[Adjusted_ULife_HP]]=1,VLOOKUP(Table1[[#This Row],[Item_Handpump]],[1]!Table2[#All],4,FALSE),0)</f>
        <v>0</v>
      </c>
      <c r="AF11" s="25">
        <f>IF(Table1[[#This Row],[Adjusted_ULife_PF]]=1,VLOOKUP(Table1[[#This Row],[Item_Platform]],[1]!Table2[#All],4,FALSE),0)</f>
        <v>0</v>
      </c>
      <c r="AG11" s="25">
        <f>SUM(Table1[[#This Row],[yr 1_wl]:[yr 1_pf]])</f>
        <v>0</v>
      </c>
      <c r="AH11" s="25">
        <f>IF(Table1[[#This Row],[Years_Next_Rehab_Well]]=2,VLOOKUP(Table1[[#This Row],[Item_Rehab_WL]],[1]!Table2[#All],5,FALSE),0)</f>
        <v>0</v>
      </c>
      <c r="AI11" s="25">
        <f>IF(Table1[[#This Row],[Adjusted_ULife_HP]]=2,VLOOKUP(Table1[[#This Row],[Item_Handpump]],[1]!Table2[#All],5,FALSE),0)</f>
        <v>0</v>
      </c>
      <c r="AJ11" s="25">
        <f>IF(Table1[[#This Row],[Adjusted_ULife_PF]]=2,VLOOKUP(Table1[[#This Row],[Item_Platform]],[1]!Table2[#All],5,FALSE),0)</f>
        <v>0</v>
      </c>
      <c r="AK11" s="25">
        <f>SUM(Table1[[#This Row],[yr 2_wl]:[yr 2_pf]])</f>
        <v>0</v>
      </c>
      <c r="AL11" s="25">
        <f>IF(Table1[[#This Row],[Years_Next_Rehab_Well]]=3,VLOOKUP(Table1[[#This Row],[Item_Rehab_WL]],[1]!Table2[#All],6,FALSE),0)</f>
        <v>5151.4026666666678</v>
      </c>
      <c r="AM11" s="25">
        <f>IF(Table1[[#This Row],[Adjusted_ULife_HP]]=3,VLOOKUP(Table1[[#This Row],[Item_Handpump]],[1]!Table2[#All],6,FALSE),0)</f>
        <v>0</v>
      </c>
      <c r="AN11" s="25">
        <f>IF(Table1[[#This Row],[Adjusted_ULife_PF]]=3,VLOOKUP(Table1[[#This Row],[Item_Platform]],[1]!Table2[#All],6,FALSE),0)</f>
        <v>0</v>
      </c>
      <c r="AO11" s="25">
        <f>SUM(Table1[[#This Row],[yr 3_wl]:[yr 3_pf]])</f>
        <v>5151.4026666666678</v>
      </c>
      <c r="AP11" s="25">
        <f>IF(Table1[[#This Row],[Years_Next_Rehab_Well]]=4,VLOOKUP(Table1[[#This Row],[Item_Rehab_WL]],[1]!Table2[#All],7,FALSE),0)</f>
        <v>0</v>
      </c>
      <c r="AQ11" s="25">
        <f>IF(Table1[[#This Row],[Adjusted_ULife_HP]]=4,VLOOKUP(Table1[[#This Row],[Item_Handpump]],[1]!Table2[#All],7,FALSE),0)</f>
        <v>0</v>
      </c>
      <c r="AR11" s="25">
        <f>IF(Table1[[#This Row],[Adjusted_ULife_PF]]=4,VLOOKUP(Table1[[#This Row],[Item_Platform]],[1]!Table2[#All],7,FALSE),0)</f>
        <v>0</v>
      </c>
      <c r="AS11" s="25">
        <f>SUM(Table1[[#This Row],[yr 4_wl]:[yr 4_pf]])</f>
        <v>0</v>
      </c>
      <c r="AT11" s="25">
        <f>IF(Table1[[#This Row],[Years_Next_Rehab_Well]]=5,VLOOKUP(Table1[[#This Row],[Item_Rehab_WL]],[1]!Table2[#All],8,FALSE),0)</f>
        <v>0</v>
      </c>
      <c r="AU11" s="25">
        <f>IF(Table1[[#This Row],[Adjusted_ULife_HP]]=5,VLOOKUP(Table1[[#This Row],[Item_Handpump]],[1]!Table2[#All],8,FALSE),0)</f>
        <v>0</v>
      </c>
      <c r="AV11" s="25">
        <f>IF(Table1[[#This Row],[Adjusted_ULife_PF]]=5,VLOOKUP(Table1[[#This Row],[Item_Platform]],[1]!Table2[#All],8,FALSE),0)</f>
        <v>0</v>
      </c>
      <c r="AW11" s="25">
        <f>SUM(Table1[[#This Row],[yr 5_wl]:[yr 5_pf]])</f>
        <v>0</v>
      </c>
      <c r="AX11" s="25">
        <f>IF(Table1[[#This Row],[Years_Next_Rehab_Well]]=6,VLOOKUP(Table1[[#This Row],[Item_Rehab_WL]],[1]!Table2[#All],9,FALSE),0)</f>
        <v>0</v>
      </c>
      <c r="AY11" s="25">
        <f>IF(Table1[[#This Row],[Adjusted_ULife_HP]]=6,VLOOKUP(Table1[[#This Row],[Item_Handpump]],[1]!Table2[#All],9,FALSE),0)</f>
        <v>0</v>
      </c>
      <c r="AZ11" s="25">
        <f>IF(Table1[[#This Row],[Adjusted_ULife_PF]]=6,VLOOKUP(Table1[[#This Row],[Item_Platform]],[1]!Table2[#All],9,FALSE),0)</f>
        <v>0</v>
      </c>
      <c r="BA11" s="25">
        <f>SUM(Table1[[#This Row],[yr 6_wl]:[yr 6_pf]])</f>
        <v>0</v>
      </c>
      <c r="BB11" s="25">
        <f>IF(Table1[[#This Row],[Years_Next_Rehab_Well]]=7,VLOOKUP(Table1[[#This Row],[Item_Rehab_WL]],[1]!Table2[#All],10,FALSE),0)</f>
        <v>0</v>
      </c>
      <c r="BC11" s="25">
        <f>IF(Table1[[#This Row],[Adjusted_ULife_HP]]=7,VLOOKUP(Table1[[#This Row],[Item_Handpump]],[1]!Table2[#All],10,FALSE),0)</f>
        <v>0</v>
      </c>
      <c r="BD11" s="25">
        <f>IF(Table1[[#This Row],[Adjusted_ULife_PF]]=7,VLOOKUP(Table1[[#This Row],[Item_Platform]],[1]!Table2[#All],10,FALSE),0)</f>
        <v>0</v>
      </c>
      <c r="BE11" s="25">
        <f>SUM(Table1[[#This Row],[yr 7_wl]:[yr 7_pf]])</f>
        <v>0</v>
      </c>
      <c r="BF11" s="25">
        <f>IF(Table1[[#This Row],[Years_Next_Rehab_Well]]=8,VLOOKUP(Table1[[#This Row],[Item_Rehab_WL]],[1]!Table2[#All],11,FALSE),0)</f>
        <v>0</v>
      </c>
      <c r="BG11" s="25">
        <f>IF(Table1[[#This Row],[Adjusted_ULife_HP]]=8,VLOOKUP(Table1[[#This Row],[Item_Handpump]],[1]!Table2[#All],11,FALSE),0)</f>
        <v>0</v>
      </c>
      <c r="BH11" s="25">
        <f>IF(Table1[[#This Row],[Adjusted_ULife_PF]]=8,VLOOKUP(Table1[[#This Row],[Item_Platform]],[1]!Table2[#All],11,FALSE),0)</f>
        <v>0</v>
      </c>
      <c r="BI11" s="25">
        <f>SUM(Table1[[#This Row],[yr 8_wl]:[yr 8_pf]])</f>
        <v>0</v>
      </c>
      <c r="BJ11" s="25">
        <f>IF(Table1[[#This Row],[Years_Next_Rehab_Well]]=9,VLOOKUP(Table1[[#This Row],[Item_Rehab_WL]],[1]!Table2[#All],12,FALSE),0)</f>
        <v>0</v>
      </c>
      <c r="BK11" s="25">
        <f>IF(Table1[[#This Row],[Adjusted_ULife_HP]]=9,VLOOKUP(Table1[[#This Row],[Item_Handpump]],[1]!Table2[#All],12,FALSE),0)</f>
        <v>0</v>
      </c>
      <c r="BL11" s="25">
        <f>IF(Table1[[#This Row],[Adjusted_ULife_PF]]=9,VLOOKUP(Table1[[#This Row],[Item_Platform]],[1]!Table2[#All],12,FALSE),0)</f>
        <v>4159.6181361752842</v>
      </c>
      <c r="BM11" s="25">
        <f>SUM(Table1[[#This Row],[yr 9_wl]:[yr 9_pf]])</f>
        <v>4159.6181361752842</v>
      </c>
      <c r="BN11" s="25">
        <f>IF(Table1[[#This Row],[Years_Next_Rehab_Well]]=10,VLOOKUP(Table1[[#This Row],[Item_Rehab_WL]],[1]!Table2[#All],13,FALSE),0)</f>
        <v>0</v>
      </c>
      <c r="BO11" s="25">
        <f>IF(Table1[[#This Row],[Adjusted_ULife_HP]]=10,VLOOKUP(Table1[[#This Row],[Item_Handpump]],[1]!Table2[#All],13,FALSE),0)</f>
        <v>0</v>
      </c>
      <c r="BP11" s="25">
        <f>IF(Table1[[#This Row],[Adjusted_ULife_PF]]=10,VLOOKUP(Table1[[#This Row],[Item_Platform]],[1]!Table2[#All],13,FALSE),0)</f>
        <v>0</v>
      </c>
      <c r="BQ11" s="25">
        <f>SUM(Table1[[#This Row],[yr 10_wl]:[yr 10_pf]])</f>
        <v>0</v>
      </c>
      <c r="BR11" s="25">
        <f>IF(Table1[[#This Row],[Years_Next_Rehab_Well]]=11,VLOOKUP(Table1[[#This Row],[Item_Rehab_WL]],[1]!Table2[#All],14,FALSE),0)</f>
        <v>0</v>
      </c>
      <c r="BS11" s="25">
        <f>IF(Table1[[#This Row],[Adjusted_ULife_HP]]=11,VLOOKUP(Table1[[#This Row],[Item_Handpump]],[1]!Table2[#All],14,FALSE),0)</f>
        <v>0</v>
      </c>
      <c r="BT11" s="25">
        <f>IF(Table1[[#This Row],[Adjusted_ULife_PF]]=11,VLOOKUP(Table1[[#This Row],[Item_Platform]],[1]!Table2[#All],14,FALSE),0)</f>
        <v>0</v>
      </c>
      <c r="BU11" s="25">
        <f>SUM(Table1[[#This Row],[yr 11_wl]:[yr 11_pf]])</f>
        <v>0</v>
      </c>
      <c r="BV11" s="25">
        <f>IF(Table1[[#This Row],[Years_Next_Rehab_Well]]=12,VLOOKUP(Table1[[#This Row],[Item_Rehab_WL]],[1]!Table2[#All],15,FALSE),0)</f>
        <v>0</v>
      </c>
      <c r="BW11" s="25">
        <f>IF(Table1[[#This Row],[Adjusted_ULife_HP]]=12,VLOOKUP(Table1[[#This Row],[Item_Handpump]],[1]!Table2[#All],15,FALSE),0)</f>
        <v>0</v>
      </c>
      <c r="BX11" s="25">
        <f>IF(Table1[[#This Row],[Adjusted_ULife_PF]]=12,VLOOKUP(Table1[[#This Row],[Item_Platform]],[1]!Table2[#All],15,FALSE),0)</f>
        <v>0</v>
      </c>
      <c r="BY11" s="25">
        <f>SUM(Table1[[#This Row],[yr 12_wl]:[yr 12_pf]])</f>
        <v>0</v>
      </c>
      <c r="BZ11" s="25">
        <f>IF(Table1[[#This Row],[Years_Next_Rehab_Well]]=13,VLOOKUP(Table1[[#This Row],[Item_Rehab_WL]],[1]!Table2[#All],16,FALSE),0)</f>
        <v>0</v>
      </c>
      <c r="CA11" s="25">
        <f>IF(Table1[[#This Row],[Adjusted_ULife_HP]]=13,VLOOKUP(Table1[[#This Row],[Item_Handpump]],[1]!Table2[#All],16,FALSE),0)</f>
        <v>0</v>
      </c>
      <c r="CB11" s="25">
        <f>IF(Table1[[#This Row],[Adjusted_ULife_PF]]=13,VLOOKUP(Table1[[#This Row],[Item_Platform]],[1]!Table2[#All],16,FALSE),0)</f>
        <v>0</v>
      </c>
      <c r="CC11" s="25">
        <f>SUM(Table1[[#This Row],[yr 13_wl]:[yr 13_pf]])</f>
        <v>0</v>
      </c>
      <c r="CD11" s="12"/>
    </row>
    <row r="12" spans="1:82" s="11" customFormat="1" x14ac:dyDescent="0.25">
      <c r="A12" s="11" t="str">
        <f>IF([1]Input_monitoring_data!A8="","",[1]Input_monitoring_data!A8)</f>
        <v>1kvr-p2yd-m9g4</v>
      </c>
      <c r="B12" s="22" t="str">
        <f>[1]Input_monitoring_data!BH8</f>
        <v>Goamu</v>
      </c>
      <c r="C12" s="22" t="str">
        <f>[1]Input_monitoring_data!BI8</f>
        <v>Aboagyaa Nkwanta</v>
      </c>
      <c r="D12" s="22" t="str">
        <f>[1]Input_monitoring_data!P8</f>
        <v>6.964631901079166</v>
      </c>
      <c r="E12" s="22" t="str">
        <f>[1]Input_monitoring_data!Q8</f>
        <v>-2.559574913256663</v>
      </c>
      <c r="F12" s="22" t="str">
        <f>[1]Input_monitoring_data!V8</f>
        <v>Adjacent The Salvation Army Church</v>
      </c>
      <c r="G12" s="23" t="str">
        <f>[1]Input_monitoring_data!U8</f>
        <v>Borehole</v>
      </c>
      <c r="H12" s="22">
        <f>[1]Input_monitoring_data!X8</f>
        <v>2012</v>
      </c>
      <c r="I12" s="21" t="str">
        <f>[1]Input_monitoring_data!AB8</f>
        <v>Borehole redevelopment</v>
      </c>
      <c r="J12" s="21">
        <f>[1]Input_monitoring_data!AC8</f>
        <v>0</v>
      </c>
      <c r="K12" s="23" t="str">
        <f>[1]Input_monitoring_data!W8</f>
        <v>AfriDev</v>
      </c>
      <c r="L12" s="22">
        <f>[1]Input_monitoring_data!X8</f>
        <v>2012</v>
      </c>
      <c r="M12" s="21">
        <f>IF([1]Input_monitoring_data!BL8&gt;'Point Sources_Asset_Register_'!L12,[1]Input_monitoring_data!BL8,"")</f>
        <v>2017</v>
      </c>
      <c r="N12" s="22" t="str">
        <f>[1]Input_monitoring_data!BQ8</f>
        <v>functional</v>
      </c>
      <c r="O12" s="22">
        <f>[1]Input_monitoring_data!AJ8</f>
        <v>0</v>
      </c>
      <c r="P12" s="23" t="s">
        <v>0</v>
      </c>
      <c r="Q12" s="22">
        <f>L12</f>
        <v>2012</v>
      </c>
      <c r="R12" s="21">
        <f>M12</f>
        <v>2017</v>
      </c>
      <c r="S12" s="20">
        <f>[1]Input_EUL_CRC_ERC!$B$17-Table1[[#This Row],[Year Installed_WL]]</f>
        <v>5</v>
      </c>
      <c r="T12" s="20">
        <f>[1]Input_EUL_CRC_ERC!$B$17-(IF(Table1[[#This Row],[Year Last_Rehab_WL ]]=0,Table1[[#This Row],[Year Installed_WL]],[1]Input_EUL_CRC_ERC!$B$17-Table1[[#This Row],[Year Last_Rehab_WL ]]))</f>
        <v>5</v>
      </c>
      <c r="U12" s="20">
        <f>(VLOOKUP(Table1[[#This Row],[Item_Rehab_WL]],[1]Input_EUL_CRC_ERC!$C$17:$E$27,2,FALSE)-Table1[[#This Row],[Last Rehab Age]])</f>
        <v>10</v>
      </c>
      <c r="V12" s="19">
        <f>[1]Input_EUL_CRC_ERC!$B$17-Table1[[#This Row],[Year Installed_HP]]</f>
        <v>5</v>
      </c>
      <c r="W12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2" s="19">
        <f>[1]Input_EUL_CRC_ERC!$B$17-Table1[[#This Row],[Year Installed_PF]]</f>
        <v>5</v>
      </c>
      <c r="Y12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2" s="25">
        <f>IF(Table1[[#This Row],[Years_Next_Rehab_Well]]&lt;=0,VLOOKUP(Table1[[#This Row],[Item_Rehab_WL]],[1]!Table2[#All],3,FALSE),0)</f>
        <v>0</v>
      </c>
      <c r="AA12" s="18">
        <f>IF(Table1[[#This Row],[Adjusted_ULife_HP]]&lt;=0,VLOOKUP(Table1[[#This Row],[Item_Handpump]],[1]!Table2[#All],3,FALSE),0)</f>
        <v>0</v>
      </c>
      <c r="AB12" s="18">
        <f>IF(Table1[[#This Row],[Adjusted_ULife_PF]]&lt;=0,VLOOKUP(Table1[[#This Row],[Item_Platform]],[1]!Table2[#All],3,FALSE),0)</f>
        <v>0</v>
      </c>
      <c r="AC12" s="18">
        <f>SUM(Table1[[#This Row],[current yr_wl]:[current yr_pf]])</f>
        <v>0</v>
      </c>
      <c r="AD12" s="25">
        <f>IF(Table1[[#This Row],[Years_Next_Rehab_Well]]=1,VLOOKUP(Table1[[#This Row],[Item_Rehab_WL]],[1]!Table2[#All],4,FALSE),0)</f>
        <v>0</v>
      </c>
      <c r="AE12" s="25">
        <f>IF(Table1[[#This Row],[Adjusted_ULife_HP]]=1,VLOOKUP(Table1[[#This Row],[Item_Handpump]],[1]!Table2[#All],4,FALSE),0)</f>
        <v>0</v>
      </c>
      <c r="AF12" s="25">
        <f>IF(Table1[[#This Row],[Adjusted_ULife_PF]]=1,VLOOKUP(Table1[[#This Row],[Item_Platform]],[1]!Table2[#All],4,FALSE),0)</f>
        <v>0</v>
      </c>
      <c r="AG12" s="25">
        <f>SUM(Table1[[#This Row],[yr 1_wl]:[yr 1_pf]])</f>
        <v>0</v>
      </c>
      <c r="AH12" s="25">
        <f>IF(Table1[[#This Row],[Years_Next_Rehab_Well]]=2,VLOOKUP(Table1[[#This Row],[Item_Rehab_WL]],[1]!Table2[#All],5,FALSE),0)</f>
        <v>0</v>
      </c>
      <c r="AI12" s="25">
        <f>IF(Table1[[#This Row],[Adjusted_ULife_HP]]=2,VLOOKUP(Table1[[#This Row],[Item_Handpump]],[1]!Table2[#All],5,FALSE),0)</f>
        <v>0</v>
      </c>
      <c r="AJ12" s="25">
        <f>IF(Table1[[#This Row],[Adjusted_ULife_PF]]=2,VLOOKUP(Table1[[#This Row],[Item_Platform]],[1]!Table2[#All],5,FALSE),0)</f>
        <v>0</v>
      </c>
      <c r="AK12" s="25">
        <f>SUM(Table1[[#This Row],[yr 2_wl]:[yr 2_pf]])</f>
        <v>0</v>
      </c>
      <c r="AL12" s="25">
        <f>IF(Table1[[#This Row],[Years_Next_Rehab_Well]]=3,VLOOKUP(Table1[[#This Row],[Item_Rehab_WL]],[1]!Table2[#All],6,FALSE),0)</f>
        <v>0</v>
      </c>
      <c r="AM12" s="25">
        <f>IF(Table1[[#This Row],[Adjusted_ULife_HP]]=3,VLOOKUP(Table1[[#This Row],[Item_Handpump]],[1]!Table2[#All],6,FALSE),0)</f>
        <v>0</v>
      </c>
      <c r="AN12" s="25">
        <f>IF(Table1[[#This Row],[Adjusted_ULife_PF]]=3,VLOOKUP(Table1[[#This Row],[Item_Platform]],[1]!Table2[#All],6,FALSE),0)</f>
        <v>0</v>
      </c>
      <c r="AO12" s="25">
        <f>SUM(Table1[[#This Row],[yr 3_wl]:[yr 3_pf]])</f>
        <v>0</v>
      </c>
      <c r="AP12" s="25">
        <f>IF(Table1[[#This Row],[Years_Next_Rehab_Well]]=4,VLOOKUP(Table1[[#This Row],[Item_Rehab_WL]],[1]!Table2[#All],7,FALSE),0)</f>
        <v>0</v>
      </c>
      <c r="AQ12" s="25">
        <f>IF(Table1[[#This Row],[Adjusted_ULife_HP]]=4,VLOOKUP(Table1[[#This Row],[Item_Handpump]],[1]!Table2[#All],7,FALSE),0)</f>
        <v>0</v>
      </c>
      <c r="AR12" s="25">
        <f>IF(Table1[[#This Row],[Adjusted_ULife_PF]]=4,VLOOKUP(Table1[[#This Row],[Item_Platform]],[1]!Table2[#All],7,FALSE),0)</f>
        <v>0</v>
      </c>
      <c r="AS12" s="25">
        <f>SUM(Table1[[#This Row],[yr 4_wl]:[yr 4_pf]])</f>
        <v>0</v>
      </c>
      <c r="AT12" s="25">
        <f>IF(Table1[[#This Row],[Years_Next_Rehab_Well]]=5,VLOOKUP(Table1[[#This Row],[Item_Rehab_WL]],[1]!Table2[#All],8,FALSE),0)</f>
        <v>0</v>
      </c>
      <c r="AU12" s="25">
        <f>IF(Table1[[#This Row],[Adjusted_ULife_HP]]=5,VLOOKUP(Table1[[#This Row],[Item_Handpump]],[1]!Table2[#All],8,FALSE),0)</f>
        <v>0</v>
      </c>
      <c r="AV12" s="25">
        <f>IF(Table1[[#This Row],[Adjusted_ULife_PF]]=5,VLOOKUP(Table1[[#This Row],[Item_Platform]],[1]!Table2[#All],8,FALSE),0)</f>
        <v>0</v>
      </c>
      <c r="AW12" s="25">
        <f>SUM(Table1[[#This Row],[yr 5_wl]:[yr 5_pf]])</f>
        <v>0</v>
      </c>
      <c r="AX12" s="25">
        <f>IF(Table1[[#This Row],[Years_Next_Rehab_Well]]=6,VLOOKUP(Table1[[#This Row],[Item_Rehab_WL]],[1]!Table2[#All],9,FALSE),0)</f>
        <v>0</v>
      </c>
      <c r="AY12" s="25">
        <f>IF(Table1[[#This Row],[Adjusted_ULife_HP]]=6,VLOOKUP(Table1[[#This Row],[Item_Handpump]],[1]!Table2[#All],9,FALSE),0)</f>
        <v>0</v>
      </c>
      <c r="AZ12" s="25">
        <f>IF(Table1[[#This Row],[Adjusted_ULife_PF]]=6,VLOOKUP(Table1[[#This Row],[Item_Platform]],[1]!Table2[#All],9,FALSE),0)</f>
        <v>0</v>
      </c>
      <c r="BA12" s="25">
        <f>SUM(Table1[[#This Row],[yr 6_wl]:[yr 6_pf]])</f>
        <v>0</v>
      </c>
      <c r="BB12" s="25">
        <f>IF(Table1[[#This Row],[Years_Next_Rehab_Well]]=7,VLOOKUP(Table1[[#This Row],[Item_Rehab_WL]],[1]!Table2[#All],10,FALSE),0)</f>
        <v>0</v>
      </c>
      <c r="BC12" s="25">
        <f>IF(Table1[[#This Row],[Adjusted_ULife_HP]]=7,VLOOKUP(Table1[[#This Row],[Item_Handpump]],[1]!Table2[#All],10,FALSE),0)</f>
        <v>0</v>
      </c>
      <c r="BD12" s="25">
        <f>IF(Table1[[#This Row],[Adjusted_ULife_PF]]=7,VLOOKUP(Table1[[#This Row],[Item_Platform]],[1]!Table2[#All],10,FALSE),0)</f>
        <v>0</v>
      </c>
      <c r="BE12" s="25">
        <f>SUM(Table1[[#This Row],[yr 7_wl]:[yr 7_pf]])</f>
        <v>0</v>
      </c>
      <c r="BF12" s="25">
        <f>IF(Table1[[#This Row],[Years_Next_Rehab_Well]]=8,VLOOKUP(Table1[[#This Row],[Item_Rehab_WL]],[1]!Table2[#All],11,FALSE),0)</f>
        <v>0</v>
      </c>
      <c r="BG12" s="25">
        <f>IF(Table1[[#This Row],[Adjusted_ULife_HP]]=8,VLOOKUP(Table1[[#This Row],[Item_Handpump]],[1]!Table2[#All],11,FALSE),0)</f>
        <v>0</v>
      </c>
      <c r="BH12" s="25">
        <f>IF(Table1[[#This Row],[Adjusted_ULife_PF]]=8,VLOOKUP(Table1[[#This Row],[Item_Platform]],[1]!Table2[#All],11,FALSE),0)</f>
        <v>0</v>
      </c>
      <c r="BI12" s="25">
        <f>SUM(Table1[[#This Row],[yr 8_wl]:[yr 8_pf]])</f>
        <v>0</v>
      </c>
      <c r="BJ12" s="25">
        <f>IF(Table1[[#This Row],[Years_Next_Rehab_Well]]=9,VLOOKUP(Table1[[#This Row],[Item_Rehab_WL]],[1]!Table2[#All],12,FALSE),0)</f>
        <v>0</v>
      </c>
      <c r="BK12" s="25">
        <f>IF(Table1[[#This Row],[Adjusted_ULife_HP]]=9,VLOOKUP(Table1[[#This Row],[Item_Handpump]],[1]!Table2[#All],12,FALSE),0)</f>
        <v>0</v>
      </c>
      <c r="BL12" s="25">
        <f>IF(Table1[[#This Row],[Adjusted_ULife_PF]]=9,VLOOKUP(Table1[[#This Row],[Item_Platform]],[1]!Table2[#All],12,FALSE),0)</f>
        <v>0</v>
      </c>
      <c r="BM12" s="25">
        <f>SUM(Table1[[#This Row],[yr 9_wl]:[yr 9_pf]])</f>
        <v>0</v>
      </c>
      <c r="BN12" s="25">
        <f>IF(Table1[[#This Row],[Years_Next_Rehab_Well]]=10,VLOOKUP(Table1[[#This Row],[Item_Rehab_WL]],[1]!Table2[#All],13,FALSE),0)</f>
        <v>11388.110097262112</v>
      </c>
      <c r="BO12" s="25">
        <f>IF(Table1[[#This Row],[Adjusted_ULife_HP]]=10,VLOOKUP(Table1[[#This Row],[Item_Handpump]],[1]!Table2[#All],13,FALSE),0)</f>
        <v>0</v>
      </c>
      <c r="BP12" s="25">
        <f>IF(Table1[[#This Row],[Adjusted_ULife_PF]]=10,VLOOKUP(Table1[[#This Row],[Item_Platform]],[1]!Table2[#All],13,FALSE),0)</f>
        <v>4658.7723125163184</v>
      </c>
      <c r="BQ12" s="25">
        <f>SUM(Table1[[#This Row],[yr 10_wl]:[yr 10_pf]])</f>
        <v>16046.882409778431</v>
      </c>
      <c r="BR12" s="25">
        <f>IF(Table1[[#This Row],[Years_Next_Rehab_Well]]=11,VLOOKUP(Table1[[#This Row],[Item_Rehab_WL]],[1]!Table2[#All],14,FALSE),0)</f>
        <v>0</v>
      </c>
      <c r="BS12" s="25">
        <f>IF(Table1[[#This Row],[Adjusted_ULife_HP]]=11,VLOOKUP(Table1[[#This Row],[Item_Handpump]],[1]!Table2[#All],14,FALSE),0)</f>
        <v>0</v>
      </c>
      <c r="BT12" s="25">
        <f>IF(Table1[[#This Row],[Adjusted_ULife_PF]]=11,VLOOKUP(Table1[[#This Row],[Item_Platform]],[1]!Table2[#All],14,FALSE),0)</f>
        <v>0</v>
      </c>
      <c r="BU12" s="25">
        <f>SUM(Table1[[#This Row],[yr 11_wl]:[yr 11_pf]])</f>
        <v>0</v>
      </c>
      <c r="BV12" s="25">
        <f>IF(Table1[[#This Row],[Years_Next_Rehab_Well]]=12,VLOOKUP(Table1[[#This Row],[Item_Rehab_WL]],[1]!Table2[#All],15,FALSE),0)</f>
        <v>0</v>
      </c>
      <c r="BW12" s="25">
        <f>IF(Table1[[#This Row],[Adjusted_ULife_HP]]=12,VLOOKUP(Table1[[#This Row],[Item_Handpump]],[1]!Table2[#All],15,FALSE),0)</f>
        <v>0</v>
      </c>
      <c r="BX12" s="25">
        <f>IF(Table1[[#This Row],[Adjusted_ULife_PF]]=12,VLOOKUP(Table1[[#This Row],[Item_Platform]],[1]!Table2[#All],15,FALSE),0)</f>
        <v>0</v>
      </c>
      <c r="BY12" s="25">
        <f>SUM(Table1[[#This Row],[yr 12_wl]:[yr 12_pf]])</f>
        <v>0</v>
      </c>
      <c r="BZ12" s="25">
        <f>IF(Table1[[#This Row],[Years_Next_Rehab_Well]]=13,VLOOKUP(Table1[[#This Row],[Item_Rehab_WL]],[1]!Table2[#All],16,FALSE),0)</f>
        <v>0</v>
      </c>
      <c r="CA12" s="25">
        <f>IF(Table1[[#This Row],[Adjusted_ULife_HP]]=13,VLOOKUP(Table1[[#This Row],[Item_Handpump]],[1]!Table2[#All],16,FALSE),0)</f>
        <v>0</v>
      </c>
      <c r="CB12" s="25">
        <f>IF(Table1[[#This Row],[Adjusted_ULife_PF]]=13,VLOOKUP(Table1[[#This Row],[Item_Platform]],[1]!Table2[#All],16,FALSE),0)</f>
        <v>0</v>
      </c>
      <c r="CC12" s="25">
        <f>SUM(Table1[[#This Row],[yr 13_wl]:[yr 13_pf]])</f>
        <v>0</v>
      </c>
      <c r="CD12" s="12"/>
    </row>
    <row r="13" spans="1:82" s="11" customFormat="1" x14ac:dyDescent="0.25">
      <c r="A13" s="11" t="str">
        <f>IF([1]Input_monitoring_data!A9="","",[1]Input_monitoring_data!A9)</f>
        <v>1s64-wa5y-09tn</v>
      </c>
      <c r="B13" s="22" t="str">
        <f>[1]Input_monitoring_data!BH9</f>
        <v>Kenyasi No.2</v>
      </c>
      <c r="C13" s="22" t="str">
        <f>[1]Input_monitoring_data!BI9</f>
        <v>Dokyikrom</v>
      </c>
      <c r="D13" s="22" t="str">
        <f>[1]Input_monitoring_data!P9</f>
        <v>7.041633907524567</v>
      </c>
      <c r="E13" s="22" t="str">
        <f>[1]Input_monitoring_data!Q9</f>
        <v>-2.3987031229862095</v>
      </c>
      <c r="F13" s="22" t="str">
        <f>[1]Input_monitoring_data!V9</f>
        <v>At Nana Anthony's Farm</v>
      </c>
      <c r="G13" s="23" t="str">
        <f>[1]Input_monitoring_data!U9</f>
        <v>Borehole</v>
      </c>
      <c r="H13" s="22">
        <f>[1]Input_monitoring_data!X9</f>
        <v>2006</v>
      </c>
      <c r="I13" s="21" t="str">
        <f>[1]Input_monitoring_data!AB9</f>
        <v>Borehole redevelopment</v>
      </c>
      <c r="J13" s="21">
        <f>[1]Input_monitoring_data!AC9</f>
        <v>0</v>
      </c>
      <c r="K13" s="23" t="str">
        <f>[1]Input_monitoring_data!W9</f>
        <v>AfriDev</v>
      </c>
      <c r="L13" s="22">
        <f>[1]Input_monitoring_data!X9</f>
        <v>2006</v>
      </c>
      <c r="M13" s="21">
        <f>IF([1]Input_monitoring_data!BL9&gt;'Point Sources_Asset_Register_'!L13,[1]Input_monitoring_data!BL9,"")</f>
        <v>2017</v>
      </c>
      <c r="N13" s="22" t="str">
        <f>[1]Input_monitoring_data!BQ9</f>
        <v>partially functional</v>
      </c>
      <c r="O13" s="22" t="str">
        <f>[1]Input_monitoring_data!AJ9</f>
        <v>No handpump</v>
      </c>
      <c r="P13" s="23" t="s">
        <v>0</v>
      </c>
      <c r="Q13" s="22">
        <f>L13</f>
        <v>2006</v>
      </c>
      <c r="R13" s="21">
        <f>M13</f>
        <v>2017</v>
      </c>
      <c r="S13" s="20">
        <f>[1]Input_EUL_CRC_ERC!$B$17-Table1[[#This Row],[Year Installed_WL]]</f>
        <v>11</v>
      </c>
      <c r="T13" s="20">
        <f>[1]Input_EUL_CRC_ERC!$B$17-(IF(Table1[[#This Row],[Year Last_Rehab_WL ]]=0,Table1[[#This Row],[Year Installed_WL]],[1]Input_EUL_CRC_ERC!$B$17-Table1[[#This Row],[Year Last_Rehab_WL ]]))</f>
        <v>11</v>
      </c>
      <c r="U13" s="20">
        <f>(VLOOKUP(Table1[[#This Row],[Item_Rehab_WL]],[1]Input_EUL_CRC_ERC!$C$17:$E$27,2,FALSE)-Table1[[#This Row],[Last Rehab Age]])</f>
        <v>4</v>
      </c>
      <c r="V13" s="19">
        <f>[1]Input_EUL_CRC_ERC!$B$17-Table1[[#This Row],[Year Installed_HP]]</f>
        <v>11</v>
      </c>
      <c r="W13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3" s="19">
        <f>[1]Input_EUL_CRC_ERC!$B$17-Table1[[#This Row],[Year Installed_PF]]</f>
        <v>11</v>
      </c>
      <c r="Y13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3" s="25">
        <f>IF(Table1[[#This Row],[Years_Next_Rehab_Well]]&lt;=0,VLOOKUP(Table1[[#This Row],[Item_Rehab_WL]],[1]!Table2[#All],3,FALSE),0)</f>
        <v>0</v>
      </c>
      <c r="AA13" s="18">
        <f>IF(Table1[[#This Row],[Adjusted_ULife_HP]]&lt;=0,VLOOKUP(Table1[[#This Row],[Item_Handpump]],[1]!Table2[#All],3,FALSE),0)</f>
        <v>0</v>
      </c>
      <c r="AB13" s="18">
        <f>IF(Table1[[#This Row],[Adjusted_ULife_PF]]&lt;=0,VLOOKUP(Table1[[#This Row],[Item_Platform]],[1]!Table2[#All],3,FALSE),0)</f>
        <v>0</v>
      </c>
      <c r="AC13" s="18">
        <f>SUM(Table1[[#This Row],[current yr_wl]:[current yr_pf]])</f>
        <v>0</v>
      </c>
      <c r="AD13" s="25">
        <f>IF(Table1[[#This Row],[Years_Next_Rehab_Well]]=1,VLOOKUP(Table1[[#This Row],[Item_Rehab_WL]],[1]!Table2[#All],4,FALSE),0)</f>
        <v>0</v>
      </c>
      <c r="AE13" s="25">
        <f>IF(Table1[[#This Row],[Adjusted_ULife_HP]]=1,VLOOKUP(Table1[[#This Row],[Item_Handpump]],[1]!Table2[#All],4,FALSE),0)</f>
        <v>0</v>
      </c>
      <c r="AF13" s="25">
        <f>IF(Table1[[#This Row],[Adjusted_ULife_PF]]=1,VLOOKUP(Table1[[#This Row],[Item_Platform]],[1]!Table2[#All],4,FALSE),0)</f>
        <v>0</v>
      </c>
      <c r="AG13" s="25">
        <f>SUM(Table1[[#This Row],[yr 1_wl]:[yr 1_pf]])</f>
        <v>0</v>
      </c>
      <c r="AH13" s="25">
        <f>IF(Table1[[#This Row],[Years_Next_Rehab_Well]]=2,VLOOKUP(Table1[[#This Row],[Item_Rehab_WL]],[1]!Table2[#All],5,FALSE),0)</f>
        <v>0</v>
      </c>
      <c r="AI13" s="25">
        <f>IF(Table1[[#This Row],[Adjusted_ULife_HP]]=2,VLOOKUP(Table1[[#This Row],[Item_Handpump]],[1]!Table2[#All],5,FALSE),0)</f>
        <v>0</v>
      </c>
      <c r="AJ13" s="25">
        <f>IF(Table1[[#This Row],[Adjusted_ULife_PF]]=2,VLOOKUP(Table1[[#This Row],[Item_Platform]],[1]!Table2[#All],5,FALSE),0)</f>
        <v>0</v>
      </c>
      <c r="AK13" s="25">
        <f>SUM(Table1[[#This Row],[yr 2_wl]:[yr 2_pf]])</f>
        <v>0</v>
      </c>
      <c r="AL13" s="25">
        <f>IF(Table1[[#This Row],[Years_Next_Rehab_Well]]=3,VLOOKUP(Table1[[#This Row],[Item_Rehab_WL]],[1]!Table2[#All],6,FALSE),0)</f>
        <v>0</v>
      </c>
      <c r="AM13" s="25">
        <f>IF(Table1[[#This Row],[Adjusted_ULife_HP]]=3,VLOOKUP(Table1[[#This Row],[Item_Handpump]],[1]!Table2[#All],6,FALSE),0)</f>
        <v>0</v>
      </c>
      <c r="AN13" s="25">
        <f>IF(Table1[[#This Row],[Adjusted_ULife_PF]]=3,VLOOKUP(Table1[[#This Row],[Item_Platform]],[1]!Table2[#All],6,FALSE),0)</f>
        <v>0</v>
      </c>
      <c r="AO13" s="25">
        <f>SUM(Table1[[#This Row],[yr 3_wl]:[yr 3_pf]])</f>
        <v>0</v>
      </c>
      <c r="AP13" s="25">
        <f>IF(Table1[[#This Row],[Years_Next_Rehab_Well]]=4,VLOOKUP(Table1[[#This Row],[Item_Rehab_WL]],[1]!Table2[#All],7,FALSE),0)</f>
        <v>5769.5709866666684</v>
      </c>
      <c r="AQ13" s="25">
        <f>IF(Table1[[#This Row],[Adjusted_ULife_HP]]=4,VLOOKUP(Table1[[#This Row],[Item_Handpump]],[1]!Table2[#All],7,FALSE),0)</f>
        <v>0</v>
      </c>
      <c r="AR13" s="25">
        <f>IF(Table1[[#This Row],[Adjusted_ULife_PF]]=4,VLOOKUP(Table1[[#This Row],[Item_Platform]],[1]!Table2[#All],7,FALSE),0)</f>
        <v>0</v>
      </c>
      <c r="AS13" s="25">
        <f>SUM(Table1[[#This Row],[yr 4_wl]:[yr 4_pf]])</f>
        <v>5769.5709866666684</v>
      </c>
      <c r="AT13" s="25">
        <f>IF(Table1[[#This Row],[Years_Next_Rehab_Well]]=5,VLOOKUP(Table1[[#This Row],[Item_Rehab_WL]],[1]!Table2[#All],8,FALSE),0)</f>
        <v>0</v>
      </c>
      <c r="AU13" s="25">
        <f>IF(Table1[[#This Row],[Adjusted_ULife_HP]]=5,VLOOKUP(Table1[[#This Row],[Item_Handpump]],[1]!Table2[#All],8,FALSE),0)</f>
        <v>0</v>
      </c>
      <c r="AV13" s="25">
        <f>IF(Table1[[#This Row],[Adjusted_ULife_PF]]=5,VLOOKUP(Table1[[#This Row],[Item_Platform]],[1]!Table2[#All],8,FALSE),0)</f>
        <v>0</v>
      </c>
      <c r="AW13" s="25">
        <f>SUM(Table1[[#This Row],[yr 5_wl]:[yr 5_pf]])</f>
        <v>0</v>
      </c>
      <c r="AX13" s="25">
        <f>IF(Table1[[#This Row],[Years_Next_Rehab_Well]]=6,VLOOKUP(Table1[[#This Row],[Item_Rehab_WL]],[1]!Table2[#All],9,FALSE),0)</f>
        <v>0</v>
      </c>
      <c r="AY13" s="25">
        <f>IF(Table1[[#This Row],[Adjusted_ULife_HP]]=6,VLOOKUP(Table1[[#This Row],[Item_Handpump]],[1]!Table2[#All],9,FALSE),0)</f>
        <v>0</v>
      </c>
      <c r="AZ13" s="25">
        <f>IF(Table1[[#This Row],[Adjusted_ULife_PF]]=6,VLOOKUP(Table1[[#This Row],[Item_Platform]],[1]!Table2[#All],9,FALSE),0)</f>
        <v>0</v>
      </c>
      <c r="BA13" s="25">
        <f>SUM(Table1[[#This Row],[yr 6_wl]:[yr 6_pf]])</f>
        <v>0</v>
      </c>
      <c r="BB13" s="25">
        <f>IF(Table1[[#This Row],[Years_Next_Rehab_Well]]=7,VLOOKUP(Table1[[#This Row],[Item_Rehab_WL]],[1]!Table2[#All],10,FALSE),0)</f>
        <v>0</v>
      </c>
      <c r="BC13" s="25">
        <f>IF(Table1[[#This Row],[Adjusted_ULife_HP]]=7,VLOOKUP(Table1[[#This Row],[Item_Handpump]],[1]!Table2[#All],10,FALSE),0)</f>
        <v>0</v>
      </c>
      <c r="BD13" s="25">
        <f>IF(Table1[[#This Row],[Adjusted_ULife_PF]]=7,VLOOKUP(Table1[[#This Row],[Item_Platform]],[1]!Table2[#All],10,FALSE),0)</f>
        <v>0</v>
      </c>
      <c r="BE13" s="25">
        <f>SUM(Table1[[#This Row],[yr 7_wl]:[yr 7_pf]])</f>
        <v>0</v>
      </c>
      <c r="BF13" s="25">
        <f>IF(Table1[[#This Row],[Years_Next_Rehab_Well]]=8,VLOOKUP(Table1[[#This Row],[Item_Rehab_WL]],[1]!Table2[#All],11,FALSE),0)</f>
        <v>0</v>
      </c>
      <c r="BG13" s="25">
        <f>IF(Table1[[#This Row],[Adjusted_ULife_HP]]=8,VLOOKUP(Table1[[#This Row],[Item_Handpump]],[1]!Table2[#All],11,FALSE),0)</f>
        <v>0</v>
      </c>
      <c r="BH13" s="25">
        <f>IF(Table1[[#This Row],[Adjusted_ULife_PF]]=8,VLOOKUP(Table1[[#This Row],[Item_Platform]],[1]!Table2[#All],11,FALSE),0)</f>
        <v>0</v>
      </c>
      <c r="BI13" s="25">
        <f>SUM(Table1[[#This Row],[yr 8_wl]:[yr 8_pf]])</f>
        <v>0</v>
      </c>
      <c r="BJ13" s="25">
        <f>IF(Table1[[#This Row],[Years_Next_Rehab_Well]]=9,VLOOKUP(Table1[[#This Row],[Item_Rehab_WL]],[1]!Table2[#All],12,FALSE),0)</f>
        <v>0</v>
      </c>
      <c r="BK13" s="25">
        <f>IF(Table1[[#This Row],[Adjusted_ULife_HP]]=9,VLOOKUP(Table1[[#This Row],[Item_Handpump]],[1]!Table2[#All],12,FALSE),0)</f>
        <v>0</v>
      </c>
      <c r="BL13" s="25">
        <f>IF(Table1[[#This Row],[Adjusted_ULife_PF]]=9,VLOOKUP(Table1[[#This Row],[Item_Platform]],[1]!Table2[#All],12,FALSE),0)</f>
        <v>0</v>
      </c>
      <c r="BM13" s="25">
        <f>SUM(Table1[[#This Row],[yr 9_wl]:[yr 9_pf]])</f>
        <v>0</v>
      </c>
      <c r="BN13" s="25">
        <f>IF(Table1[[#This Row],[Years_Next_Rehab_Well]]=10,VLOOKUP(Table1[[#This Row],[Item_Rehab_WL]],[1]!Table2[#All],13,FALSE),0)</f>
        <v>0</v>
      </c>
      <c r="BO13" s="25">
        <f>IF(Table1[[#This Row],[Adjusted_ULife_HP]]=10,VLOOKUP(Table1[[#This Row],[Item_Handpump]],[1]!Table2[#All],13,FALSE),0)</f>
        <v>0</v>
      </c>
      <c r="BP13" s="25">
        <f>IF(Table1[[#This Row],[Adjusted_ULife_PF]]=10,VLOOKUP(Table1[[#This Row],[Item_Platform]],[1]!Table2[#All],13,FALSE),0)</f>
        <v>4658.7723125163184</v>
      </c>
      <c r="BQ13" s="25">
        <f>SUM(Table1[[#This Row],[yr 10_wl]:[yr 10_pf]])</f>
        <v>4658.7723125163184</v>
      </c>
      <c r="BR13" s="25">
        <f>IF(Table1[[#This Row],[Years_Next_Rehab_Well]]=11,VLOOKUP(Table1[[#This Row],[Item_Rehab_WL]],[1]!Table2[#All],14,FALSE),0)</f>
        <v>0</v>
      </c>
      <c r="BS13" s="25">
        <f>IF(Table1[[#This Row],[Adjusted_ULife_HP]]=11,VLOOKUP(Table1[[#This Row],[Item_Handpump]],[1]!Table2[#All],14,FALSE),0)</f>
        <v>0</v>
      </c>
      <c r="BT13" s="25">
        <f>IF(Table1[[#This Row],[Adjusted_ULife_PF]]=11,VLOOKUP(Table1[[#This Row],[Item_Platform]],[1]!Table2[#All],14,FALSE),0)</f>
        <v>0</v>
      </c>
      <c r="BU13" s="25">
        <f>SUM(Table1[[#This Row],[yr 11_wl]:[yr 11_pf]])</f>
        <v>0</v>
      </c>
      <c r="BV13" s="25">
        <f>IF(Table1[[#This Row],[Years_Next_Rehab_Well]]=12,VLOOKUP(Table1[[#This Row],[Item_Rehab_WL]],[1]!Table2[#All],15,FALSE),0)</f>
        <v>0</v>
      </c>
      <c r="BW13" s="25">
        <f>IF(Table1[[#This Row],[Adjusted_ULife_HP]]=12,VLOOKUP(Table1[[#This Row],[Item_Handpump]],[1]!Table2[#All],15,FALSE),0)</f>
        <v>0</v>
      </c>
      <c r="BX13" s="25">
        <f>IF(Table1[[#This Row],[Adjusted_ULife_PF]]=12,VLOOKUP(Table1[[#This Row],[Item_Platform]],[1]!Table2[#All],15,FALSE),0)</f>
        <v>0</v>
      </c>
      <c r="BY13" s="25">
        <f>SUM(Table1[[#This Row],[yr 12_wl]:[yr 12_pf]])</f>
        <v>0</v>
      </c>
      <c r="BZ13" s="25">
        <f>IF(Table1[[#This Row],[Years_Next_Rehab_Well]]=13,VLOOKUP(Table1[[#This Row],[Item_Rehab_WL]],[1]!Table2[#All],16,FALSE),0)</f>
        <v>0</v>
      </c>
      <c r="CA13" s="25">
        <f>IF(Table1[[#This Row],[Adjusted_ULife_HP]]=13,VLOOKUP(Table1[[#This Row],[Item_Handpump]],[1]!Table2[#All],16,FALSE),0)</f>
        <v>0</v>
      </c>
      <c r="CB13" s="25">
        <f>IF(Table1[[#This Row],[Adjusted_ULife_PF]]=13,VLOOKUP(Table1[[#This Row],[Item_Platform]],[1]!Table2[#All],16,FALSE),0)</f>
        <v>0</v>
      </c>
      <c r="CC13" s="25">
        <f>SUM(Table1[[#This Row],[yr 13_wl]:[yr 13_pf]])</f>
        <v>0</v>
      </c>
      <c r="CD13" s="12"/>
    </row>
    <row r="14" spans="1:82" s="11" customFormat="1" x14ac:dyDescent="0.25">
      <c r="A14" s="11" t="str">
        <f>IF([1]Input_monitoring_data!A10="","",[1]Input_monitoring_data!A10)</f>
        <v>1w91-n803-6ryc</v>
      </c>
      <c r="B14" s="22" t="str">
        <f>[1]Input_monitoring_data!BH10</f>
        <v>Ntotroso</v>
      </c>
      <c r="C14" s="22" t="str">
        <f>[1]Input_monitoring_data!BI10</f>
        <v>Gyedu</v>
      </c>
      <c r="D14" s="22" t="str">
        <f>[1]Input_monitoring_data!P10</f>
        <v>7.065112210117026</v>
      </c>
      <c r="E14" s="22" t="str">
        <f>[1]Input_monitoring_data!Q10</f>
        <v>-2.324026271339203</v>
      </c>
      <c r="F14" s="22" t="str">
        <f>[1]Input_monitoring_data!V10</f>
        <v>Nearer To No 9 NO 10 House</v>
      </c>
      <c r="G14" s="23" t="str">
        <f>[1]Input_monitoring_data!U10</f>
        <v>Borehole</v>
      </c>
      <c r="H14" s="22">
        <f>[1]Input_monitoring_data!X10</f>
        <v>1987</v>
      </c>
      <c r="I14" s="21" t="str">
        <f>[1]Input_monitoring_data!AB10</f>
        <v>Borehole redevelopment</v>
      </c>
      <c r="J14" s="21">
        <f>[1]Input_monitoring_data!AC10</f>
        <v>0</v>
      </c>
      <c r="K14" s="23" t="str">
        <f>[1]Input_monitoring_data!W10</f>
        <v>Ghana modified India Mark II</v>
      </c>
      <c r="L14" s="22">
        <f>[1]Input_monitoring_data!X10</f>
        <v>1987</v>
      </c>
      <c r="M14" s="21">
        <f>IF([1]Input_monitoring_data!BL10&gt;'Point Sources_Asset_Register_'!L14,[1]Input_monitoring_data!BL10,"")</f>
        <v>2013</v>
      </c>
      <c r="N14" s="22" t="str">
        <f>[1]Input_monitoring_data!BQ10</f>
        <v>functional</v>
      </c>
      <c r="O14" s="22">
        <f>[1]Input_monitoring_data!AJ10</f>
        <v>0</v>
      </c>
      <c r="P14" s="23" t="s">
        <v>0</v>
      </c>
      <c r="Q14" s="22">
        <f>L14</f>
        <v>1987</v>
      </c>
      <c r="R14" s="21">
        <f>M14</f>
        <v>2013</v>
      </c>
      <c r="S14" s="20">
        <f>[1]Input_EUL_CRC_ERC!$B$17-Table1[[#This Row],[Year Installed_WL]]</f>
        <v>30</v>
      </c>
      <c r="T14" s="20">
        <f>[1]Input_EUL_CRC_ERC!$B$17-(IF(Table1[[#This Row],[Year Last_Rehab_WL ]]=0,Table1[[#This Row],[Year Installed_WL]],[1]Input_EUL_CRC_ERC!$B$17-Table1[[#This Row],[Year Last_Rehab_WL ]]))</f>
        <v>30</v>
      </c>
      <c r="U14" s="20">
        <f>(VLOOKUP(Table1[[#This Row],[Item_Rehab_WL]],[1]Input_EUL_CRC_ERC!$C$17:$E$27,2,FALSE)-Table1[[#This Row],[Last Rehab Age]])</f>
        <v>-15</v>
      </c>
      <c r="V14" s="19">
        <f>[1]Input_EUL_CRC_ERC!$B$17-Table1[[#This Row],[Year Installed_HP]]</f>
        <v>30</v>
      </c>
      <c r="W14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14" s="19">
        <f>[1]Input_EUL_CRC_ERC!$B$17-Table1[[#This Row],[Year Installed_PF]]</f>
        <v>30</v>
      </c>
      <c r="Y14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4" s="25">
        <f>IF(Table1[[#This Row],[Years_Next_Rehab_Well]]&lt;=0,VLOOKUP(Table1[[#This Row],[Item_Rehab_WL]],[1]!Table2[#All],3,FALSE),0)</f>
        <v>3666.6666666666665</v>
      </c>
      <c r="AA14" s="18">
        <f>IF(Table1[[#This Row],[Adjusted_ULife_HP]]&lt;=0,VLOOKUP(Table1[[#This Row],[Item_Handpump]],[1]!Table2[#All],3,FALSE),0)</f>
        <v>0</v>
      </c>
      <c r="AB14" s="18">
        <f>IF(Table1[[#This Row],[Adjusted_ULife_PF]]&lt;=0,VLOOKUP(Table1[[#This Row],[Item_Platform]],[1]!Table2[#All],3,FALSE),0)</f>
        <v>0</v>
      </c>
      <c r="AC14" s="18">
        <f>SUM(Table1[[#This Row],[current yr_wl]:[current yr_pf]])</f>
        <v>3666.6666666666665</v>
      </c>
      <c r="AD14" s="25">
        <f>IF(Table1[[#This Row],[Years_Next_Rehab_Well]]=1,VLOOKUP(Table1[[#This Row],[Item_Rehab_WL]],[1]!Table2[#All],4,FALSE),0)</f>
        <v>0</v>
      </c>
      <c r="AE14" s="25">
        <f>IF(Table1[[#This Row],[Adjusted_ULife_HP]]=1,VLOOKUP(Table1[[#This Row],[Item_Handpump]],[1]!Table2[#All],4,FALSE),0)</f>
        <v>0</v>
      </c>
      <c r="AF14" s="25">
        <f>IF(Table1[[#This Row],[Adjusted_ULife_PF]]=1,VLOOKUP(Table1[[#This Row],[Item_Platform]],[1]!Table2[#All],4,FALSE),0)</f>
        <v>0</v>
      </c>
      <c r="AG14" s="25">
        <f>SUM(Table1[[#This Row],[yr 1_wl]:[yr 1_pf]])</f>
        <v>0</v>
      </c>
      <c r="AH14" s="25">
        <f>IF(Table1[[#This Row],[Years_Next_Rehab_Well]]=2,VLOOKUP(Table1[[#This Row],[Item_Rehab_WL]],[1]!Table2[#All],5,FALSE),0)</f>
        <v>0</v>
      </c>
      <c r="AI14" s="25">
        <f>IF(Table1[[#This Row],[Adjusted_ULife_HP]]=2,VLOOKUP(Table1[[#This Row],[Item_Handpump]],[1]!Table2[#All],5,FALSE),0)</f>
        <v>0</v>
      </c>
      <c r="AJ14" s="25">
        <f>IF(Table1[[#This Row],[Adjusted_ULife_PF]]=2,VLOOKUP(Table1[[#This Row],[Item_Platform]],[1]!Table2[#All],5,FALSE),0)</f>
        <v>0</v>
      </c>
      <c r="AK14" s="25">
        <f>SUM(Table1[[#This Row],[yr 2_wl]:[yr 2_pf]])</f>
        <v>0</v>
      </c>
      <c r="AL14" s="25">
        <f>IF(Table1[[#This Row],[Years_Next_Rehab_Well]]=3,VLOOKUP(Table1[[#This Row],[Item_Rehab_WL]],[1]!Table2[#All],6,FALSE),0)</f>
        <v>0</v>
      </c>
      <c r="AM14" s="25">
        <f>IF(Table1[[#This Row],[Adjusted_ULife_HP]]=3,VLOOKUP(Table1[[#This Row],[Item_Handpump]],[1]!Table2[#All],6,FALSE),0)</f>
        <v>0</v>
      </c>
      <c r="AN14" s="25">
        <f>IF(Table1[[#This Row],[Adjusted_ULife_PF]]=3,VLOOKUP(Table1[[#This Row],[Item_Platform]],[1]!Table2[#All],6,FALSE),0)</f>
        <v>0</v>
      </c>
      <c r="AO14" s="25">
        <f>SUM(Table1[[#This Row],[yr 3_wl]:[yr 3_pf]])</f>
        <v>0</v>
      </c>
      <c r="AP14" s="25">
        <f>IF(Table1[[#This Row],[Years_Next_Rehab_Well]]=4,VLOOKUP(Table1[[#This Row],[Item_Rehab_WL]],[1]!Table2[#All],7,FALSE),0)</f>
        <v>0</v>
      </c>
      <c r="AQ14" s="25">
        <f>IF(Table1[[#This Row],[Adjusted_ULife_HP]]=4,VLOOKUP(Table1[[#This Row],[Item_Handpump]],[1]!Table2[#All],7,FALSE),0)</f>
        <v>0</v>
      </c>
      <c r="AR14" s="25">
        <f>IF(Table1[[#This Row],[Adjusted_ULife_PF]]=4,VLOOKUP(Table1[[#This Row],[Item_Platform]],[1]!Table2[#All],7,FALSE),0)</f>
        <v>0</v>
      </c>
      <c r="AS14" s="25">
        <f>SUM(Table1[[#This Row],[yr 4_wl]:[yr 4_pf]])</f>
        <v>0</v>
      </c>
      <c r="AT14" s="25">
        <f>IF(Table1[[#This Row],[Years_Next_Rehab_Well]]=5,VLOOKUP(Table1[[#This Row],[Item_Rehab_WL]],[1]!Table2[#All],8,FALSE),0)</f>
        <v>0</v>
      </c>
      <c r="AU14" s="25">
        <f>IF(Table1[[#This Row],[Adjusted_ULife_HP]]=5,VLOOKUP(Table1[[#This Row],[Item_Handpump]],[1]!Table2[#All],8,FALSE),0)</f>
        <v>0</v>
      </c>
      <c r="AV14" s="25">
        <f>IF(Table1[[#This Row],[Adjusted_ULife_PF]]=5,VLOOKUP(Table1[[#This Row],[Item_Platform]],[1]!Table2[#All],8,FALSE),0)</f>
        <v>0</v>
      </c>
      <c r="AW14" s="25">
        <f>SUM(Table1[[#This Row],[yr 5_wl]:[yr 5_pf]])</f>
        <v>0</v>
      </c>
      <c r="AX14" s="25">
        <f>IF(Table1[[#This Row],[Years_Next_Rehab_Well]]=6,VLOOKUP(Table1[[#This Row],[Item_Rehab_WL]],[1]!Table2[#All],9,FALSE),0)</f>
        <v>0</v>
      </c>
      <c r="AY14" s="25">
        <f>IF(Table1[[#This Row],[Adjusted_ULife_HP]]=6,VLOOKUP(Table1[[#This Row],[Item_Handpump]],[1]!Table2[#All],9,FALSE),0)</f>
        <v>0</v>
      </c>
      <c r="AZ14" s="25">
        <f>IF(Table1[[#This Row],[Adjusted_ULife_PF]]=6,VLOOKUP(Table1[[#This Row],[Item_Platform]],[1]!Table2[#All],9,FALSE),0)</f>
        <v>2960.7340277760022</v>
      </c>
      <c r="BA14" s="25">
        <f>SUM(Table1[[#This Row],[yr 6_wl]:[yr 6_pf]])</f>
        <v>2960.7340277760022</v>
      </c>
      <c r="BB14" s="25">
        <f>IF(Table1[[#This Row],[Years_Next_Rehab_Well]]=7,VLOOKUP(Table1[[#This Row],[Item_Rehab_WL]],[1]!Table2[#All],10,FALSE),0)</f>
        <v>0</v>
      </c>
      <c r="BC14" s="25">
        <f>IF(Table1[[#This Row],[Adjusted_ULife_HP]]=7,VLOOKUP(Table1[[#This Row],[Item_Handpump]],[1]!Table2[#All],10,FALSE),0)</f>
        <v>0</v>
      </c>
      <c r="BD14" s="25">
        <f>IF(Table1[[#This Row],[Adjusted_ULife_PF]]=7,VLOOKUP(Table1[[#This Row],[Item_Platform]],[1]!Table2[#All],10,FALSE),0)</f>
        <v>0</v>
      </c>
      <c r="BE14" s="25">
        <f>SUM(Table1[[#This Row],[yr 7_wl]:[yr 7_pf]])</f>
        <v>0</v>
      </c>
      <c r="BF14" s="25">
        <f>IF(Table1[[#This Row],[Years_Next_Rehab_Well]]=8,VLOOKUP(Table1[[#This Row],[Item_Rehab_WL]],[1]!Table2[#All],11,FALSE),0)</f>
        <v>0</v>
      </c>
      <c r="BG14" s="25">
        <f>IF(Table1[[#This Row],[Adjusted_ULife_HP]]=8,VLOOKUP(Table1[[#This Row],[Item_Handpump]],[1]!Table2[#All],11,FALSE),0)</f>
        <v>0</v>
      </c>
      <c r="BH14" s="25">
        <f>IF(Table1[[#This Row],[Adjusted_ULife_PF]]=8,VLOOKUP(Table1[[#This Row],[Item_Platform]],[1]!Table2[#All],11,FALSE),0)</f>
        <v>0</v>
      </c>
      <c r="BI14" s="25">
        <f>SUM(Table1[[#This Row],[yr 8_wl]:[yr 8_pf]])</f>
        <v>0</v>
      </c>
      <c r="BJ14" s="25">
        <f>IF(Table1[[#This Row],[Years_Next_Rehab_Well]]=9,VLOOKUP(Table1[[#This Row],[Item_Rehab_WL]],[1]!Table2[#All],12,FALSE),0)</f>
        <v>0</v>
      </c>
      <c r="BK14" s="25">
        <f>IF(Table1[[#This Row],[Adjusted_ULife_HP]]=9,VLOOKUP(Table1[[#This Row],[Item_Handpump]],[1]!Table2[#All],12,FALSE),0)</f>
        <v>0</v>
      </c>
      <c r="BL14" s="25">
        <f>IF(Table1[[#This Row],[Adjusted_ULife_PF]]=9,VLOOKUP(Table1[[#This Row],[Item_Platform]],[1]!Table2[#All],12,FALSE),0)</f>
        <v>0</v>
      </c>
      <c r="BM14" s="25">
        <f>SUM(Table1[[#This Row],[yr 9_wl]:[yr 9_pf]])</f>
        <v>0</v>
      </c>
      <c r="BN14" s="25">
        <f>IF(Table1[[#This Row],[Years_Next_Rehab_Well]]=10,VLOOKUP(Table1[[#This Row],[Item_Rehab_WL]],[1]!Table2[#All],13,FALSE),0)</f>
        <v>0</v>
      </c>
      <c r="BO14" s="25">
        <f>IF(Table1[[#This Row],[Adjusted_ULife_HP]]=10,VLOOKUP(Table1[[#This Row],[Item_Handpump]],[1]!Table2[#All],13,FALSE),0)</f>
        <v>0</v>
      </c>
      <c r="BP14" s="25">
        <f>IF(Table1[[#This Row],[Adjusted_ULife_PF]]=10,VLOOKUP(Table1[[#This Row],[Item_Platform]],[1]!Table2[#All],13,FALSE),0)</f>
        <v>0</v>
      </c>
      <c r="BQ14" s="25">
        <f>SUM(Table1[[#This Row],[yr 10_wl]:[yr 10_pf]])</f>
        <v>0</v>
      </c>
      <c r="BR14" s="25">
        <f>IF(Table1[[#This Row],[Years_Next_Rehab_Well]]=11,VLOOKUP(Table1[[#This Row],[Item_Rehab_WL]],[1]!Table2[#All],14,FALSE),0)</f>
        <v>0</v>
      </c>
      <c r="BS14" s="25">
        <f>IF(Table1[[#This Row],[Adjusted_ULife_HP]]=11,VLOOKUP(Table1[[#This Row],[Item_Handpump]],[1]!Table2[#All],14,FALSE),0)</f>
        <v>0</v>
      </c>
      <c r="BT14" s="25">
        <f>IF(Table1[[#This Row],[Adjusted_ULife_PF]]=11,VLOOKUP(Table1[[#This Row],[Item_Platform]],[1]!Table2[#All],14,FALSE),0)</f>
        <v>0</v>
      </c>
      <c r="BU14" s="25">
        <f>SUM(Table1[[#This Row],[yr 11_wl]:[yr 11_pf]])</f>
        <v>0</v>
      </c>
      <c r="BV14" s="25">
        <f>IF(Table1[[#This Row],[Years_Next_Rehab_Well]]=12,VLOOKUP(Table1[[#This Row],[Item_Rehab_WL]],[1]!Table2[#All],15,FALSE),0)</f>
        <v>0</v>
      </c>
      <c r="BW14" s="25">
        <f>IF(Table1[[#This Row],[Adjusted_ULife_HP]]=12,VLOOKUP(Table1[[#This Row],[Item_Handpump]],[1]!Table2[#All],15,FALSE),0)</f>
        <v>0</v>
      </c>
      <c r="BX14" s="25">
        <f>IF(Table1[[#This Row],[Adjusted_ULife_PF]]=12,VLOOKUP(Table1[[#This Row],[Item_Platform]],[1]!Table2[#All],15,FALSE),0)</f>
        <v>0</v>
      </c>
      <c r="BY14" s="25">
        <f>SUM(Table1[[#This Row],[yr 12_wl]:[yr 12_pf]])</f>
        <v>0</v>
      </c>
      <c r="BZ14" s="25">
        <f>IF(Table1[[#This Row],[Years_Next_Rehab_Well]]=13,VLOOKUP(Table1[[#This Row],[Item_Rehab_WL]],[1]!Table2[#All],16,FALSE),0)</f>
        <v>0</v>
      </c>
      <c r="CA14" s="25">
        <f>IF(Table1[[#This Row],[Adjusted_ULife_HP]]=13,VLOOKUP(Table1[[#This Row],[Item_Handpump]],[1]!Table2[#All],16,FALSE),0)</f>
        <v>0</v>
      </c>
      <c r="CB14" s="25">
        <f>IF(Table1[[#This Row],[Adjusted_ULife_PF]]=13,VLOOKUP(Table1[[#This Row],[Item_Platform]],[1]!Table2[#All],16,FALSE),0)</f>
        <v>0</v>
      </c>
      <c r="CC14" s="25">
        <f>SUM(Table1[[#This Row],[yr 13_wl]:[yr 13_pf]])</f>
        <v>0</v>
      </c>
      <c r="CD14" s="12"/>
    </row>
    <row r="15" spans="1:82" s="11" customFormat="1" x14ac:dyDescent="0.25">
      <c r="A15" s="11" t="str">
        <f>IF([1]Input_monitoring_data!A11="","",[1]Input_monitoring_data!A11)</f>
        <v>1ykd-4j1g-euu8</v>
      </c>
      <c r="B15" s="22" t="str">
        <f>[1]Input_monitoring_data!BH11</f>
        <v>GOAMU</v>
      </c>
      <c r="C15" s="22" t="str">
        <f>[1]Input_monitoring_data!BI11</f>
        <v>YAW BREFO</v>
      </c>
      <c r="D15" s="22" t="str">
        <f>[1]Input_monitoring_data!P11</f>
        <v>7.070601898496606</v>
      </c>
      <c r="E15" s="22" t="str">
        <f>[1]Input_monitoring_data!Q11</f>
        <v>-2.4701744611434258</v>
      </c>
      <c r="F15" s="22" t="str">
        <f>[1]Input_monitoring_data!V11</f>
        <v>Yaw BREFO</v>
      </c>
      <c r="G15" s="23" t="str">
        <f>[1]Input_monitoring_data!U11</f>
        <v>Borehole</v>
      </c>
      <c r="H15" s="22">
        <f>[1]Input_monitoring_data!X11</f>
        <v>2012</v>
      </c>
      <c r="I15" s="21" t="str">
        <f>[1]Input_monitoring_data!AB11</f>
        <v>Borehole redevelopment</v>
      </c>
      <c r="J15" s="21">
        <f>[1]Input_monitoring_data!AC11</f>
        <v>0</v>
      </c>
      <c r="K15" s="23" t="str">
        <f>[1]Input_monitoring_data!W11</f>
        <v>AfriDev</v>
      </c>
      <c r="L15" s="22">
        <f>[1]Input_monitoring_data!X11</f>
        <v>2012</v>
      </c>
      <c r="M15" s="21" t="str">
        <f>IF([1]Input_monitoring_data!BL11&gt;'Point Sources_Asset_Register_'!L15,[1]Input_monitoring_data!BL11,"")</f>
        <v/>
      </c>
      <c r="N15" s="22" t="str">
        <f>[1]Input_monitoring_data!BQ11</f>
        <v>functional</v>
      </c>
      <c r="O15" s="22">
        <f>[1]Input_monitoring_data!AJ11</f>
        <v>0</v>
      </c>
      <c r="P15" s="23" t="s">
        <v>0</v>
      </c>
      <c r="Q15" s="22">
        <f>L15</f>
        <v>2012</v>
      </c>
      <c r="R15" s="21" t="str">
        <f>M15</f>
        <v/>
      </c>
      <c r="S15" s="20">
        <f>[1]Input_EUL_CRC_ERC!$B$17-Table1[[#This Row],[Year Installed_WL]]</f>
        <v>5</v>
      </c>
      <c r="T15" s="20">
        <f>[1]Input_EUL_CRC_ERC!$B$17-(IF(Table1[[#This Row],[Year Last_Rehab_WL ]]=0,Table1[[#This Row],[Year Installed_WL]],[1]Input_EUL_CRC_ERC!$B$17-Table1[[#This Row],[Year Last_Rehab_WL ]]))</f>
        <v>5</v>
      </c>
      <c r="U15" s="20">
        <f>(VLOOKUP(Table1[[#This Row],[Item_Rehab_WL]],[1]Input_EUL_CRC_ERC!$C$17:$E$27,2,FALSE)-Table1[[#This Row],[Last Rehab Age]])</f>
        <v>10</v>
      </c>
      <c r="V15" s="19">
        <f>[1]Input_EUL_CRC_ERC!$B$17-Table1[[#This Row],[Year Installed_HP]]</f>
        <v>5</v>
      </c>
      <c r="W15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15" s="19">
        <f>[1]Input_EUL_CRC_ERC!$B$17-Table1[[#This Row],[Year Installed_PF]]</f>
        <v>5</v>
      </c>
      <c r="Y15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15" s="25">
        <f>IF(Table1[[#This Row],[Years_Next_Rehab_Well]]&lt;=0,VLOOKUP(Table1[[#This Row],[Item_Rehab_WL]],[1]!Table2[#All],3,FALSE),0)</f>
        <v>0</v>
      </c>
      <c r="AA15" s="18">
        <f>IF(Table1[[#This Row],[Adjusted_ULife_HP]]&lt;=0,VLOOKUP(Table1[[#This Row],[Item_Handpump]],[1]!Table2[#All],3,FALSE),0)</f>
        <v>0</v>
      </c>
      <c r="AB15" s="18">
        <f>IF(Table1[[#This Row],[Adjusted_ULife_PF]]&lt;=0,VLOOKUP(Table1[[#This Row],[Item_Platform]],[1]!Table2[#All],3,FALSE),0)</f>
        <v>0</v>
      </c>
      <c r="AC15" s="18">
        <f>SUM(Table1[[#This Row],[current yr_wl]:[current yr_pf]])</f>
        <v>0</v>
      </c>
      <c r="AD15" s="25">
        <f>IF(Table1[[#This Row],[Years_Next_Rehab_Well]]=1,VLOOKUP(Table1[[#This Row],[Item_Rehab_WL]],[1]!Table2[#All],4,FALSE),0)</f>
        <v>0</v>
      </c>
      <c r="AE15" s="25">
        <f>IF(Table1[[#This Row],[Adjusted_ULife_HP]]=1,VLOOKUP(Table1[[#This Row],[Item_Handpump]],[1]!Table2[#All],4,FALSE),0)</f>
        <v>0</v>
      </c>
      <c r="AF15" s="25">
        <f>IF(Table1[[#This Row],[Adjusted_ULife_PF]]=1,VLOOKUP(Table1[[#This Row],[Item_Platform]],[1]!Table2[#All],4,FALSE),0)</f>
        <v>0</v>
      </c>
      <c r="AG15" s="25">
        <f>SUM(Table1[[#This Row],[yr 1_wl]:[yr 1_pf]])</f>
        <v>0</v>
      </c>
      <c r="AH15" s="25">
        <f>IF(Table1[[#This Row],[Years_Next_Rehab_Well]]=2,VLOOKUP(Table1[[#This Row],[Item_Rehab_WL]],[1]!Table2[#All],5,FALSE),0)</f>
        <v>0</v>
      </c>
      <c r="AI15" s="25">
        <f>IF(Table1[[#This Row],[Adjusted_ULife_HP]]=2,VLOOKUP(Table1[[#This Row],[Item_Handpump]],[1]!Table2[#All],5,FALSE),0)</f>
        <v>0</v>
      </c>
      <c r="AJ15" s="25">
        <f>IF(Table1[[#This Row],[Adjusted_ULife_PF]]=2,VLOOKUP(Table1[[#This Row],[Item_Platform]],[1]!Table2[#All],5,FALSE),0)</f>
        <v>0</v>
      </c>
      <c r="AK15" s="25">
        <f>SUM(Table1[[#This Row],[yr 2_wl]:[yr 2_pf]])</f>
        <v>0</v>
      </c>
      <c r="AL15" s="25">
        <f>IF(Table1[[#This Row],[Years_Next_Rehab_Well]]=3,VLOOKUP(Table1[[#This Row],[Item_Rehab_WL]],[1]!Table2[#All],6,FALSE),0)</f>
        <v>0</v>
      </c>
      <c r="AM15" s="25">
        <f>IF(Table1[[#This Row],[Adjusted_ULife_HP]]=3,VLOOKUP(Table1[[#This Row],[Item_Handpump]],[1]!Table2[#All],6,FALSE),0)</f>
        <v>0</v>
      </c>
      <c r="AN15" s="25">
        <f>IF(Table1[[#This Row],[Adjusted_ULife_PF]]=3,VLOOKUP(Table1[[#This Row],[Item_Platform]],[1]!Table2[#All],6,FALSE),0)</f>
        <v>0</v>
      </c>
      <c r="AO15" s="25">
        <f>SUM(Table1[[#This Row],[yr 3_wl]:[yr 3_pf]])</f>
        <v>0</v>
      </c>
      <c r="AP15" s="25">
        <f>IF(Table1[[#This Row],[Years_Next_Rehab_Well]]=4,VLOOKUP(Table1[[#This Row],[Item_Rehab_WL]],[1]!Table2[#All],7,FALSE),0)</f>
        <v>0</v>
      </c>
      <c r="AQ15" s="25">
        <f>IF(Table1[[#This Row],[Adjusted_ULife_HP]]=4,VLOOKUP(Table1[[#This Row],[Item_Handpump]],[1]!Table2[#All],7,FALSE),0)</f>
        <v>0</v>
      </c>
      <c r="AR15" s="25">
        <f>IF(Table1[[#This Row],[Adjusted_ULife_PF]]=4,VLOOKUP(Table1[[#This Row],[Item_Platform]],[1]!Table2[#All],7,FALSE),0)</f>
        <v>0</v>
      </c>
      <c r="AS15" s="25">
        <f>SUM(Table1[[#This Row],[yr 4_wl]:[yr 4_pf]])</f>
        <v>0</v>
      </c>
      <c r="AT15" s="25">
        <f>IF(Table1[[#This Row],[Years_Next_Rehab_Well]]=5,VLOOKUP(Table1[[#This Row],[Item_Rehab_WL]],[1]!Table2[#All],8,FALSE),0)</f>
        <v>0</v>
      </c>
      <c r="AU15" s="25">
        <f>IF(Table1[[#This Row],[Adjusted_ULife_HP]]=5,VLOOKUP(Table1[[#This Row],[Item_Handpump]],[1]!Table2[#All],8,FALSE),0)</f>
        <v>0</v>
      </c>
      <c r="AV15" s="25">
        <f>IF(Table1[[#This Row],[Adjusted_ULife_PF]]=5,VLOOKUP(Table1[[#This Row],[Item_Platform]],[1]!Table2[#All],8,FALSE),0)</f>
        <v>2643.5125248000018</v>
      </c>
      <c r="AW15" s="25">
        <f>SUM(Table1[[#This Row],[yr 5_wl]:[yr 5_pf]])</f>
        <v>2643.5125248000018</v>
      </c>
      <c r="AX15" s="25">
        <f>IF(Table1[[#This Row],[Years_Next_Rehab_Well]]=6,VLOOKUP(Table1[[#This Row],[Item_Rehab_WL]],[1]!Table2[#All],9,FALSE),0)</f>
        <v>0</v>
      </c>
      <c r="AY15" s="25">
        <f>IF(Table1[[#This Row],[Adjusted_ULife_HP]]=6,VLOOKUP(Table1[[#This Row],[Item_Handpump]],[1]!Table2[#All],9,FALSE),0)</f>
        <v>0</v>
      </c>
      <c r="AZ15" s="25">
        <f>IF(Table1[[#This Row],[Adjusted_ULife_PF]]=6,VLOOKUP(Table1[[#This Row],[Item_Platform]],[1]!Table2[#All],9,FALSE),0)</f>
        <v>0</v>
      </c>
      <c r="BA15" s="25">
        <f>SUM(Table1[[#This Row],[yr 6_wl]:[yr 6_pf]])</f>
        <v>0</v>
      </c>
      <c r="BB15" s="25">
        <f>IF(Table1[[#This Row],[Years_Next_Rehab_Well]]=7,VLOOKUP(Table1[[#This Row],[Item_Rehab_WL]],[1]!Table2[#All],10,FALSE),0)</f>
        <v>0</v>
      </c>
      <c r="BC15" s="25">
        <f>IF(Table1[[#This Row],[Adjusted_ULife_HP]]=7,VLOOKUP(Table1[[#This Row],[Item_Handpump]],[1]!Table2[#All],10,FALSE),0)</f>
        <v>0</v>
      </c>
      <c r="BD15" s="25">
        <f>IF(Table1[[#This Row],[Adjusted_ULife_PF]]=7,VLOOKUP(Table1[[#This Row],[Item_Platform]],[1]!Table2[#All],10,FALSE),0)</f>
        <v>0</v>
      </c>
      <c r="BE15" s="25">
        <f>SUM(Table1[[#This Row],[yr 7_wl]:[yr 7_pf]])</f>
        <v>0</v>
      </c>
      <c r="BF15" s="25">
        <f>IF(Table1[[#This Row],[Years_Next_Rehab_Well]]=8,VLOOKUP(Table1[[#This Row],[Item_Rehab_WL]],[1]!Table2[#All],11,FALSE),0)</f>
        <v>0</v>
      </c>
      <c r="BG15" s="25">
        <f>IF(Table1[[#This Row],[Adjusted_ULife_HP]]=8,VLOOKUP(Table1[[#This Row],[Item_Handpump]],[1]!Table2[#All],11,FALSE),0)</f>
        <v>0</v>
      </c>
      <c r="BH15" s="25">
        <f>IF(Table1[[#This Row],[Adjusted_ULife_PF]]=8,VLOOKUP(Table1[[#This Row],[Item_Platform]],[1]!Table2[#All],11,FALSE),0)</f>
        <v>0</v>
      </c>
      <c r="BI15" s="25">
        <f>SUM(Table1[[#This Row],[yr 8_wl]:[yr 8_pf]])</f>
        <v>0</v>
      </c>
      <c r="BJ15" s="25">
        <f>IF(Table1[[#This Row],[Years_Next_Rehab_Well]]=9,VLOOKUP(Table1[[#This Row],[Item_Rehab_WL]],[1]!Table2[#All],12,FALSE),0)</f>
        <v>0</v>
      </c>
      <c r="BK15" s="25">
        <f>IF(Table1[[#This Row],[Adjusted_ULife_HP]]=9,VLOOKUP(Table1[[#This Row],[Item_Handpump]],[1]!Table2[#All],12,FALSE),0)</f>
        <v>0</v>
      </c>
      <c r="BL15" s="25">
        <f>IF(Table1[[#This Row],[Adjusted_ULife_PF]]=9,VLOOKUP(Table1[[#This Row],[Item_Platform]],[1]!Table2[#All],12,FALSE),0)</f>
        <v>0</v>
      </c>
      <c r="BM15" s="25">
        <f>SUM(Table1[[#This Row],[yr 9_wl]:[yr 9_pf]])</f>
        <v>0</v>
      </c>
      <c r="BN15" s="25">
        <f>IF(Table1[[#This Row],[Years_Next_Rehab_Well]]=10,VLOOKUP(Table1[[#This Row],[Item_Rehab_WL]],[1]!Table2[#All],13,FALSE),0)</f>
        <v>11388.110097262112</v>
      </c>
      <c r="BO15" s="25">
        <f>IF(Table1[[#This Row],[Adjusted_ULife_HP]]=10,VLOOKUP(Table1[[#This Row],[Item_Handpump]],[1]!Table2[#All],13,FALSE),0)</f>
        <v>0</v>
      </c>
      <c r="BP15" s="25">
        <f>IF(Table1[[#This Row],[Adjusted_ULife_PF]]=10,VLOOKUP(Table1[[#This Row],[Item_Platform]],[1]!Table2[#All],13,FALSE),0)</f>
        <v>0</v>
      </c>
      <c r="BQ15" s="25">
        <f>SUM(Table1[[#This Row],[yr 10_wl]:[yr 10_pf]])</f>
        <v>11388.110097262112</v>
      </c>
      <c r="BR15" s="25">
        <f>IF(Table1[[#This Row],[Years_Next_Rehab_Well]]=11,VLOOKUP(Table1[[#This Row],[Item_Rehab_WL]],[1]!Table2[#All],14,FALSE),0)</f>
        <v>0</v>
      </c>
      <c r="BS15" s="25">
        <f>IF(Table1[[#This Row],[Adjusted_ULife_HP]]=11,VLOOKUP(Table1[[#This Row],[Item_Handpump]],[1]!Table2[#All],14,FALSE),0)</f>
        <v>0</v>
      </c>
      <c r="BT15" s="25">
        <f>IF(Table1[[#This Row],[Adjusted_ULife_PF]]=11,VLOOKUP(Table1[[#This Row],[Item_Platform]],[1]!Table2[#All],14,FALSE),0)</f>
        <v>0</v>
      </c>
      <c r="BU15" s="25">
        <f>SUM(Table1[[#This Row],[yr 11_wl]:[yr 11_pf]])</f>
        <v>0</v>
      </c>
      <c r="BV15" s="25">
        <f>IF(Table1[[#This Row],[Years_Next_Rehab_Well]]=12,VLOOKUP(Table1[[#This Row],[Item_Rehab_WL]],[1]!Table2[#All],15,FALSE),0)</f>
        <v>0</v>
      </c>
      <c r="BW15" s="25">
        <f>IF(Table1[[#This Row],[Adjusted_ULife_HP]]=12,VLOOKUP(Table1[[#This Row],[Item_Handpump]],[1]!Table2[#All],15,FALSE),0)</f>
        <v>0</v>
      </c>
      <c r="BX15" s="25">
        <f>IF(Table1[[#This Row],[Adjusted_ULife_PF]]=12,VLOOKUP(Table1[[#This Row],[Item_Platform]],[1]!Table2[#All],15,FALSE),0)</f>
        <v>0</v>
      </c>
      <c r="BY15" s="25">
        <f>SUM(Table1[[#This Row],[yr 12_wl]:[yr 12_pf]])</f>
        <v>0</v>
      </c>
      <c r="BZ15" s="25">
        <f>IF(Table1[[#This Row],[Years_Next_Rehab_Well]]=13,VLOOKUP(Table1[[#This Row],[Item_Rehab_WL]],[1]!Table2[#All],16,FALSE),0)</f>
        <v>0</v>
      </c>
      <c r="CA15" s="25">
        <f>IF(Table1[[#This Row],[Adjusted_ULife_HP]]=13,VLOOKUP(Table1[[#This Row],[Item_Handpump]],[1]!Table2[#All],16,FALSE),0)</f>
        <v>0</v>
      </c>
      <c r="CB15" s="25">
        <f>IF(Table1[[#This Row],[Adjusted_ULife_PF]]=13,VLOOKUP(Table1[[#This Row],[Item_Platform]],[1]!Table2[#All],16,FALSE),0)</f>
        <v>0</v>
      </c>
      <c r="CC15" s="25">
        <f>SUM(Table1[[#This Row],[yr 13_wl]:[yr 13_pf]])</f>
        <v>0</v>
      </c>
      <c r="CD15" s="12"/>
    </row>
    <row r="16" spans="1:82" s="11" customFormat="1" x14ac:dyDescent="0.25">
      <c r="A16" s="11" t="str">
        <f>IF([1]Input_monitoring_data!A12="","",[1]Input_monitoring_data!A12)</f>
        <v>207y-9gmb-mu6h</v>
      </c>
      <c r="B16" s="22" t="str">
        <f>[1]Input_monitoring_data!BH12</f>
        <v>Kenyasi No.2</v>
      </c>
      <c r="C16" s="22" t="str">
        <f>[1]Input_monitoring_data!BI12</f>
        <v>Kenyasi No.2</v>
      </c>
      <c r="D16" s="22" t="str">
        <f>[1]Input_monitoring_data!P12</f>
        <v>6.97268805438729</v>
      </c>
      <c r="E16" s="22" t="str">
        <f>[1]Input_monitoring_data!Q12</f>
        <v>-2.3889683790444325</v>
      </c>
      <c r="F16" s="22" t="str">
        <f>[1]Input_monitoring_data!V12</f>
        <v>In The Premises Of Sister Matilda</v>
      </c>
      <c r="G16" s="23" t="str">
        <f>[1]Input_monitoring_data!U12</f>
        <v>Borehole</v>
      </c>
      <c r="H16" s="22">
        <f>[1]Input_monitoring_data!X12</f>
        <v>2012</v>
      </c>
      <c r="I16" s="21" t="str">
        <f>[1]Input_monitoring_data!AB12</f>
        <v>Borehole redevelopment</v>
      </c>
      <c r="J16" s="21">
        <f>[1]Input_monitoring_data!AC12</f>
        <v>0</v>
      </c>
      <c r="K16" s="23" t="str">
        <f>[1]Input_monitoring_data!W12</f>
        <v>AfriDev</v>
      </c>
      <c r="L16" s="22">
        <f>[1]Input_monitoring_data!X12</f>
        <v>2012</v>
      </c>
      <c r="M16" s="21">
        <f>IF([1]Input_monitoring_data!BL12&gt;'Point Sources_Asset_Register_'!L16,[1]Input_monitoring_data!BL12,"")</f>
        <v>2016</v>
      </c>
      <c r="N16" s="22" t="str">
        <f>[1]Input_monitoring_data!BQ12</f>
        <v>functional</v>
      </c>
      <c r="O16" s="22">
        <f>[1]Input_monitoring_data!AJ12</f>
        <v>0</v>
      </c>
      <c r="P16" s="23" t="s">
        <v>0</v>
      </c>
      <c r="Q16" s="22">
        <f>L16</f>
        <v>2012</v>
      </c>
      <c r="R16" s="21">
        <f>M16</f>
        <v>2016</v>
      </c>
      <c r="S16" s="20">
        <f>[1]Input_EUL_CRC_ERC!$B$17-Table1[[#This Row],[Year Installed_WL]]</f>
        <v>5</v>
      </c>
      <c r="T16" s="20">
        <f>[1]Input_EUL_CRC_ERC!$B$17-(IF(Table1[[#This Row],[Year Last_Rehab_WL ]]=0,Table1[[#This Row],[Year Installed_WL]],[1]Input_EUL_CRC_ERC!$B$17-Table1[[#This Row],[Year Last_Rehab_WL ]]))</f>
        <v>5</v>
      </c>
      <c r="U16" s="20">
        <f>(VLOOKUP(Table1[[#This Row],[Item_Rehab_WL]],[1]Input_EUL_CRC_ERC!$C$17:$E$27,2,FALSE)-Table1[[#This Row],[Last Rehab Age]])</f>
        <v>10</v>
      </c>
      <c r="V16" s="19">
        <f>[1]Input_EUL_CRC_ERC!$B$17-Table1[[#This Row],[Year Installed_HP]]</f>
        <v>5</v>
      </c>
      <c r="W16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6" s="19">
        <f>[1]Input_EUL_CRC_ERC!$B$17-Table1[[#This Row],[Year Installed_PF]]</f>
        <v>5</v>
      </c>
      <c r="Y16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6" s="25">
        <f>IF(Table1[[#This Row],[Years_Next_Rehab_Well]]&lt;=0,VLOOKUP(Table1[[#This Row],[Item_Rehab_WL]],[1]!Table2[#All],3,FALSE),0)</f>
        <v>0</v>
      </c>
      <c r="AA16" s="18">
        <f>IF(Table1[[#This Row],[Adjusted_ULife_HP]]&lt;=0,VLOOKUP(Table1[[#This Row],[Item_Handpump]],[1]!Table2[#All],3,FALSE),0)</f>
        <v>0</v>
      </c>
      <c r="AB16" s="18">
        <f>IF(Table1[[#This Row],[Adjusted_ULife_PF]]&lt;=0,VLOOKUP(Table1[[#This Row],[Item_Platform]],[1]!Table2[#All],3,FALSE),0)</f>
        <v>0</v>
      </c>
      <c r="AC16" s="18">
        <f>SUM(Table1[[#This Row],[current yr_wl]:[current yr_pf]])</f>
        <v>0</v>
      </c>
      <c r="AD16" s="25">
        <f>IF(Table1[[#This Row],[Years_Next_Rehab_Well]]=1,VLOOKUP(Table1[[#This Row],[Item_Rehab_WL]],[1]!Table2[#All],4,FALSE),0)</f>
        <v>0</v>
      </c>
      <c r="AE16" s="25">
        <f>IF(Table1[[#This Row],[Adjusted_ULife_HP]]=1,VLOOKUP(Table1[[#This Row],[Item_Handpump]],[1]!Table2[#All],4,FALSE),0)</f>
        <v>0</v>
      </c>
      <c r="AF16" s="25">
        <f>IF(Table1[[#This Row],[Adjusted_ULife_PF]]=1,VLOOKUP(Table1[[#This Row],[Item_Platform]],[1]!Table2[#All],4,FALSE),0)</f>
        <v>0</v>
      </c>
      <c r="AG16" s="25">
        <f>SUM(Table1[[#This Row],[yr 1_wl]:[yr 1_pf]])</f>
        <v>0</v>
      </c>
      <c r="AH16" s="25">
        <f>IF(Table1[[#This Row],[Years_Next_Rehab_Well]]=2,VLOOKUP(Table1[[#This Row],[Item_Rehab_WL]],[1]!Table2[#All],5,FALSE),0)</f>
        <v>0</v>
      </c>
      <c r="AI16" s="25">
        <f>IF(Table1[[#This Row],[Adjusted_ULife_HP]]=2,VLOOKUP(Table1[[#This Row],[Item_Handpump]],[1]!Table2[#All],5,FALSE),0)</f>
        <v>0</v>
      </c>
      <c r="AJ16" s="25">
        <f>IF(Table1[[#This Row],[Adjusted_ULife_PF]]=2,VLOOKUP(Table1[[#This Row],[Item_Platform]],[1]!Table2[#All],5,FALSE),0)</f>
        <v>0</v>
      </c>
      <c r="AK16" s="25">
        <f>SUM(Table1[[#This Row],[yr 2_wl]:[yr 2_pf]])</f>
        <v>0</v>
      </c>
      <c r="AL16" s="25">
        <f>IF(Table1[[#This Row],[Years_Next_Rehab_Well]]=3,VLOOKUP(Table1[[#This Row],[Item_Rehab_WL]],[1]!Table2[#All],6,FALSE),0)</f>
        <v>0</v>
      </c>
      <c r="AM16" s="25">
        <f>IF(Table1[[#This Row],[Adjusted_ULife_HP]]=3,VLOOKUP(Table1[[#This Row],[Item_Handpump]],[1]!Table2[#All],6,FALSE),0)</f>
        <v>0</v>
      </c>
      <c r="AN16" s="25">
        <f>IF(Table1[[#This Row],[Adjusted_ULife_PF]]=3,VLOOKUP(Table1[[#This Row],[Item_Platform]],[1]!Table2[#All],6,FALSE),0)</f>
        <v>0</v>
      </c>
      <c r="AO16" s="25">
        <f>SUM(Table1[[#This Row],[yr 3_wl]:[yr 3_pf]])</f>
        <v>0</v>
      </c>
      <c r="AP16" s="25">
        <f>IF(Table1[[#This Row],[Years_Next_Rehab_Well]]=4,VLOOKUP(Table1[[#This Row],[Item_Rehab_WL]],[1]!Table2[#All],7,FALSE),0)</f>
        <v>0</v>
      </c>
      <c r="AQ16" s="25">
        <f>IF(Table1[[#This Row],[Adjusted_ULife_HP]]=4,VLOOKUP(Table1[[#This Row],[Item_Handpump]],[1]!Table2[#All],7,FALSE),0)</f>
        <v>0</v>
      </c>
      <c r="AR16" s="25">
        <f>IF(Table1[[#This Row],[Adjusted_ULife_PF]]=4,VLOOKUP(Table1[[#This Row],[Item_Platform]],[1]!Table2[#All],7,FALSE),0)</f>
        <v>0</v>
      </c>
      <c r="AS16" s="25">
        <f>SUM(Table1[[#This Row],[yr 4_wl]:[yr 4_pf]])</f>
        <v>0</v>
      </c>
      <c r="AT16" s="25">
        <f>IF(Table1[[#This Row],[Years_Next_Rehab_Well]]=5,VLOOKUP(Table1[[#This Row],[Item_Rehab_WL]],[1]!Table2[#All],8,FALSE),0)</f>
        <v>0</v>
      </c>
      <c r="AU16" s="25">
        <f>IF(Table1[[#This Row],[Adjusted_ULife_HP]]=5,VLOOKUP(Table1[[#This Row],[Item_Handpump]],[1]!Table2[#All],8,FALSE),0)</f>
        <v>0</v>
      </c>
      <c r="AV16" s="25">
        <f>IF(Table1[[#This Row],[Adjusted_ULife_PF]]=5,VLOOKUP(Table1[[#This Row],[Item_Platform]],[1]!Table2[#All],8,FALSE),0)</f>
        <v>0</v>
      </c>
      <c r="AW16" s="25">
        <f>SUM(Table1[[#This Row],[yr 5_wl]:[yr 5_pf]])</f>
        <v>0</v>
      </c>
      <c r="AX16" s="25">
        <f>IF(Table1[[#This Row],[Years_Next_Rehab_Well]]=6,VLOOKUP(Table1[[#This Row],[Item_Rehab_WL]],[1]!Table2[#All],9,FALSE),0)</f>
        <v>0</v>
      </c>
      <c r="AY16" s="25">
        <f>IF(Table1[[#This Row],[Adjusted_ULife_HP]]=6,VLOOKUP(Table1[[#This Row],[Item_Handpump]],[1]!Table2[#All],9,FALSE),0)</f>
        <v>0</v>
      </c>
      <c r="AZ16" s="25">
        <f>IF(Table1[[#This Row],[Adjusted_ULife_PF]]=6,VLOOKUP(Table1[[#This Row],[Item_Platform]],[1]!Table2[#All],9,FALSE),0)</f>
        <v>0</v>
      </c>
      <c r="BA16" s="25">
        <f>SUM(Table1[[#This Row],[yr 6_wl]:[yr 6_pf]])</f>
        <v>0</v>
      </c>
      <c r="BB16" s="25">
        <f>IF(Table1[[#This Row],[Years_Next_Rehab_Well]]=7,VLOOKUP(Table1[[#This Row],[Item_Rehab_WL]],[1]!Table2[#All],10,FALSE),0)</f>
        <v>0</v>
      </c>
      <c r="BC16" s="25">
        <f>IF(Table1[[#This Row],[Adjusted_ULife_HP]]=7,VLOOKUP(Table1[[#This Row],[Item_Handpump]],[1]!Table2[#All],10,FALSE),0)</f>
        <v>0</v>
      </c>
      <c r="BD16" s="25">
        <f>IF(Table1[[#This Row],[Adjusted_ULife_PF]]=7,VLOOKUP(Table1[[#This Row],[Item_Platform]],[1]!Table2[#All],10,FALSE),0)</f>
        <v>0</v>
      </c>
      <c r="BE16" s="25">
        <f>SUM(Table1[[#This Row],[yr 7_wl]:[yr 7_pf]])</f>
        <v>0</v>
      </c>
      <c r="BF16" s="25">
        <f>IF(Table1[[#This Row],[Years_Next_Rehab_Well]]=8,VLOOKUP(Table1[[#This Row],[Item_Rehab_WL]],[1]!Table2[#All],11,FALSE),0)</f>
        <v>0</v>
      </c>
      <c r="BG16" s="25">
        <f>IF(Table1[[#This Row],[Adjusted_ULife_HP]]=8,VLOOKUP(Table1[[#This Row],[Item_Handpump]],[1]!Table2[#All],11,FALSE),0)</f>
        <v>0</v>
      </c>
      <c r="BH16" s="25">
        <f>IF(Table1[[#This Row],[Adjusted_ULife_PF]]=8,VLOOKUP(Table1[[#This Row],[Item_Platform]],[1]!Table2[#All],11,FALSE),0)</f>
        <v>0</v>
      </c>
      <c r="BI16" s="25">
        <f>SUM(Table1[[#This Row],[yr 8_wl]:[yr 8_pf]])</f>
        <v>0</v>
      </c>
      <c r="BJ16" s="25">
        <f>IF(Table1[[#This Row],[Years_Next_Rehab_Well]]=9,VLOOKUP(Table1[[#This Row],[Item_Rehab_WL]],[1]!Table2[#All],12,FALSE),0)</f>
        <v>0</v>
      </c>
      <c r="BK16" s="25">
        <f>IF(Table1[[#This Row],[Adjusted_ULife_HP]]=9,VLOOKUP(Table1[[#This Row],[Item_Handpump]],[1]!Table2[#All],12,FALSE),0)</f>
        <v>0</v>
      </c>
      <c r="BL16" s="25">
        <f>IF(Table1[[#This Row],[Adjusted_ULife_PF]]=9,VLOOKUP(Table1[[#This Row],[Item_Platform]],[1]!Table2[#All],12,FALSE),0)</f>
        <v>4159.6181361752842</v>
      </c>
      <c r="BM16" s="25">
        <f>SUM(Table1[[#This Row],[yr 9_wl]:[yr 9_pf]])</f>
        <v>4159.6181361752842</v>
      </c>
      <c r="BN16" s="25">
        <f>IF(Table1[[#This Row],[Years_Next_Rehab_Well]]=10,VLOOKUP(Table1[[#This Row],[Item_Rehab_WL]],[1]!Table2[#All],13,FALSE),0)</f>
        <v>11388.110097262112</v>
      </c>
      <c r="BO16" s="25">
        <f>IF(Table1[[#This Row],[Adjusted_ULife_HP]]=10,VLOOKUP(Table1[[#This Row],[Item_Handpump]],[1]!Table2[#All],13,FALSE),0)</f>
        <v>0</v>
      </c>
      <c r="BP16" s="25">
        <f>IF(Table1[[#This Row],[Adjusted_ULife_PF]]=10,VLOOKUP(Table1[[#This Row],[Item_Platform]],[1]!Table2[#All],13,FALSE),0)</f>
        <v>0</v>
      </c>
      <c r="BQ16" s="25">
        <f>SUM(Table1[[#This Row],[yr 10_wl]:[yr 10_pf]])</f>
        <v>11388.110097262112</v>
      </c>
      <c r="BR16" s="25">
        <f>IF(Table1[[#This Row],[Years_Next_Rehab_Well]]=11,VLOOKUP(Table1[[#This Row],[Item_Rehab_WL]],[1]!Table2[#All],14,FALSE),0)</f>
        <v>0</v>
      </c>
      <c r="BS16" s="25">
        <f>IF(Table1[[#This Row],[Adjusted_ULife_HP]]=11,VLOOKUP(Table1[[#This Row],[Item_Handpump]],[1]!Table2[#All],14,FALSE),0)</f>
        <v>0</v>
      </c>
      <c r="BT16" s="25">
        <f>IF(Table1[[#This Row],[Adjusted_ULife_PF]]=11,VLOOKUP(Table1[[#This Row],[Item_Platform]],[1]!Table2[#All],14,FALSE),0)</f>
        <v>0</v>
      </c>
      <c r="BU16" s="25">
        <f>SUM(Table1[[#This Row],[yr 11_wl]:[yr 11_pf]])</f>
        <v>0</v>
      </c>
      <c r="BV16" s="25">
        <f>IF(Table1[[#This Row],[Years_Next_Rehab_Well]]=12,VLOOKUP(Table1[[#This Row],[Item_Rehab_WL]],[1]!Table2[#All],15,FALSE),0)</f>
        <v>0</v>
      </c>
      <c r="BW16" s="25">
        <f>IF(Table1[[#This Row],[Adjusted_ULife_HP]]=12,VLOOKUP(Table1[[#This Row],[Item_Handpump]],[1]!Table2[#All],15,FALSE),0)</f>
        <v>0</v>
      </c>
      <c r="BX16" s="25">
        <f>IF(Table1[[#This Row],[Adjusted_ULife_PF]]=12,VLOOKUP(Table1[[#This Row],[Item_Platform]],[1]!Table2[#All],15,FALSE),0)</f>
        <v>0</v>
      </c>
      <c r="BY16" s="25">
        <f>SUM(Table1[[#This Row],[yr 12_wl]:[yr 12_pf]])</f>
        <v>0</v>
      </c>
      <c r="BZ16" s="25">
        <f>IF(Table1[[#This Row],[Years_Next_Rehab_Well]]=13,VLOOKUP(Table1[[#This Row],[Item_Rehab_WL]],[1]!Table2[#All],16,FALSE),0)</f>
        <v>0</v>
      </c>
      <c r="CA16" s="25">
        <f>IF(Table1[[#This Row],[Adjusted_ULife_HP]]=13,VLOOKUP(Table1[[#This Row],[Item_Handpump]],[1]!Table2[#All],16,FALSE),0)</f>
        <v>0</v>
      </c>
      <c r="CB16" s="25">
        <f>IF(Table1[[#This Row],[Adjusted_ULife_PF]]=13,VLOOKUP(Table1[[#This Row],[Item_Platform]],[1]!Table2[#All],16,FALSE),0)</f>
        <v>0</v>
      </c>
      <c r="CC16" s="25">
        <f>SUM(Table1[[#This Row],[yr 13_wl]:[yr 13_pf]])</f>
        <v>0</v>
      </c>
      <c r="CD16" s="12"/>
    </row>
    <row r="17" spans="1:82" s="11" customFormat="1" x14ac:dyDescent="0.25">
      <c r="A17" s="11" t="str">
        <f>IF([1]Input_monitoring_data!A13="","",[1]Input_monitoring_data!A13)</f>
        <v>21vc-efe8-453f</v>
      </c>
      <c r="B17" s="22" t="str">
        <f>[1]Input_monitoring_data!BH13</f>
        <v>GOAMU</v>
      </c>
      <c r="C17" s="22" t="str">
        <f>[1]Input_monitoring_data!BI13</f>
        <v>KWAME KOBI</v>
      </c>
      <c r="D17" s="22" t="str">
        <f>[1]Input_monitoring_data!P13</f>
        <v>6.981800233382342</v>
      </c>
      <c r="E17" s="22" t="str">
        <f>[1]Input_monitoring_data!Q13</f>
        <v>-2.54265036902569</v>
      </c>
      <c r="F17" s="22" t="str">
        <f>[1]Input_monitoring_data!V13</f>
        <v>along kensere road</v>
      </c>
      <c r="G17" s="23" t="str">
        <f>[1]Input_monitoring_data!U13</f>
        <v>Borehole</v>
      </c>
      <c r="H17" s="22">
        <f>[1]Input_monitoring_data!X13</f>
        <v>2016</v>
      </c>
      <c r="I17" s="21" t="str">
        <f>[1]Input_monitoring_data!AB13</f>
        <v>Borehole redevelopment</v>
      </c>
      <c r="J17" s="21">
        <f>[1]Input_monitoring_data!AC13</f>
        <v>0</v>
      </c>
      <c r="K17" s="23" t="str">
        <f>[1]Input_monitoring_data!W13</f>
        <v>AfriDev</v>
      </c>
      <c r="L17" s="22">
        <f>[1]Input_monitoring_data!X13</f>
        <v>2016</v>
      </c>
      <c r="M17" s="21" t="str">
        <f>IF([1]Input_monitoring_data!BL13&gt;'Point Sources_Asset_Register_'!L17,[1]Input_monitoring_data!BL13,"")</f>
        <v/>
      </c>
      <c r="N17" s="22" t="str">
        <f>[1]Input_monitoring_data!BQ13</f>
        <v>functional</v>
      </c>
      <c r="O17" s="22">
        <f>[1]Input_monitoring_data!AJ13</f>
        <v>0</v>
      </c>
      <c r="P17" s="23" t="s">
        <v>0</v>
      </c>
      <c r="Q17" s="22">
        <f>L17</f>
        <v>2016</v>
      </c>
      <c r="R17" s="21" t="str">
        <f>M17</f>
        <v/>
      </c>
      <c r="S17" s="20">
        <f>[1]Input_EUL_CRC_ERC!$B$17-Table1[[#This Row],[Year Installed_WL]]</f>
        <v>1</v>
      </c>
      <c r="T17" s="20">
        <f>[1]Input_EUL_CRC_ERC!$B$17-(IF(Table1[[#This Row],[Year Last_Rehab_WL ]]=0,Table1[[#This Row],[Year Installed_WL]],[1]Input_EUL_CRC_ERC!$B$17-Table1[[#This Row],[Year Last_Rehab_WL ]]))</f>
        <v>1</v>
      </c>
      <c r="U17" s="20">
        <f>(VLOOKUP(Table1[[#This Row],[Item_Rehab_WL]],[1]Input_EUL_CRC_ERC!$C$17:$E$27,2,FALSE)-Table1[[#This Row],[Last Rehab Age]])</f>
        <v>14</v>
      </c>
      <c r="V17" s="19">
        <f>[1]Input_EUL_CRC_ERC!$B$17-Table1[[#This Row],[Year Installed_HP]]</f>
        <v>1</v>
      </c>
      <c r="W17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7" s="19">
        <f>[1]Input_EUL_CRC_ERC!$B$17-Table1[[#This Row],[Year Installed_PF]]</f>
        <v>1</v>
      </c>
      <c r="Y17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7" s="25">
        <f>IF(Table1[[#This Row],[Years_Next_Rehab_Well]]&lt;=0,VLOOKUP(Table1[[#This Row],[Item_Rehab_WL]],[1]!Table2[#All],3,FALSE),0)</f>
        <v>0</v>
      </c>
      <c r="AA17" s="18">
        <f>IF(Table1[[#This Row],[Adjusted_ULife_HP]]&lt;=0,VLOOKUP(Table1[[#This Row],[Item_Handpump]],[1]!Table2[#All],3,FALSE),0)</f>
        <v>0</v>
      </c>
      <c r="AB17" s="18">
        <f>IF(Table1[[#This Row],[Adjusted_ULife_PF]]&lt;=0,VLOOKUP(Table1[[#This Row],[Item_Platform]],[1]!Table2[#All],3,FALSE),0)</f>
        <v>0</v>
      </c>
      <c r="AC17" s="18">
        <f>SUM(Table1[[#This Row],[current yr_wl]:[current yr_pf]])</f>
        <v>0</v>
      </c>
      <c r="AD17" s="25">
        <f>IF(Table1[[#This Row],[Years_Next_Rehab_Well]]=1,VLOOKUP(Table1[[#This Row],[Item_Rehab_WL]],[1]!Table2[#All],4,FALSE),0)</f>
        <v>0</v>
      </c>
      <c r="AE17" s="25">
        <f>IF(Table1[[#This Row],[Adjusted_ULife_HP]]=1,VLOOKUP(Table1[[#This Row],[Item_Handpump]],[1]!Table2[#All],4,FALSE),0)</f>
        <v>0</v>
      </c>
      <c r="AF17" s="25">
        <f>IF(Table1[[#This Row],[Adjusted_ULife_PF]]=1,VLOOKUP(Table1[[#This Row],[Item_Platform]],[1]!Table2[#All],4,FALSE),0)</f>
        <v>0</v>
      </c>
      <c r="AG17" s="25">
        <f>SUM(Table1[[#This Row],[yr 1_wl]:[yr 1_pf]])</f>
        <v>0</v>
      </c>
      <c r="AH17" s="25">
        <f>IF(Table1[[#This Row],[Years_Next_Rehab_Well]]=2,VLOOKUP(Table1[[#This Row],[Item_Rehab_WL]],[1]!Table2[#All],5,FALSE),0)</f>
        <v>0</v>
      </c>
      <c r="AI17" s="25">
        <f>IF(Table1[[#This Row],[Adjusted_ULife_HP]]=2,VLOOKUP(Table1[[#This Row],[Item_Handpump]],[1]!Table2[#All],5,FALSE),0)</f>
        <v>0</v>
      </c>
      <c r="AJ17" s="25">
        <f>IF(Table1[[#This Row],[Adjusted_ULife_PF]]=2,VLOOKUP(Table1[[#This Row],[Item_Platform]],[1]!Table2[#All],5,FALSE),0)</f>
        <v>0</v>
      </c>
      <c r="AK17" s="25">
        <f>SUM(Table1[[#This Row],[yr 2_wl]:[yr 2_pf]])</f>
        <v>0</v>
      </c>
      <c r="AL17" s="25">
        <f>IF(Table1[[#This Row],[Years_Next_Rehab_Well]]=3,VLOOKUP(Table1[[#This Row],[Item_Rehab_WL]],[1]!Table2[#All],6,FALSE),0)</f>
        <v>0</v>
      </c>
      <c r="AM17" s="25">
        <f>IF(Table1[[#This Row],[Adjusted_ULife_HP]]=3,VLOOKUP(Table1[[#This Row],[Item_Handpump]],[1]!Table2[#All],6,FALSE),0)</f>
        <v>0</v>
      </c>
      <c r="AN17" s="25">
        <f>IF(Table1[[#This Row],[Adjusted_ULife_PF]]=3,VLOOKUP(Table1[[#This Row],[Item_Platform]],[1]!Table2[#All],6,FALSE),0)</f>
        <v>0</v>
      </c>
      <c r="AO17" s="25">
        <f>SUM(Table1[[#This Row],[yr 3_wl]:[yr 3_pf]])</f>
        <v>0</v>
      </c>
      <c r="AP17" s="25">
        <f>IF(Table1[[#This Row],[Years_Next_Rehab_Well]]=4,VLOOKUP(Table1[[#This Row],[Item_Rehab_WL]],[1]!Table2[#All],7,FALSE),0)</f>
        <v>0</v>
      </c>
      <c r="AQ17" s="25">
        <f>IF(Table1[[#This Row],[Adjusted_ULife_HP]]=4,VLOOKUP(Table1[[#This Row],[Item_Handpump]],[1]!Table2[#All],7,FALSE),0)</f>
        <v>0</v>
      </c>
      <c r="AR17" s="25">
        <f>IF(Table1[[#This Row],[Adjusted_ULife_PF]]=4,VLOOKUP(Table1[[#This Row],[Item_Platform]],[1]!Table2[#All],7,FALSE),0)</f>
        <v>0</v>
      </c>
      <c r="AS17" s="25">
        <f>SUM(Table1[[#This Row],[yr 4_wl]:[yr 4_pf]])</f>
        <v>0</v>
      </c>
      <c r="AT17" s="25">
        <f>IF(Table1[[#This Row],[Years_Next_Rehab_Well]]=5,VLOOKUP(Table1[[#This Row],[Item_Rehab_WL]],[1]!Table2[#All],8,FALSE),0)</f>
        <v>0</v>
      </c>
      <c r="AU17" s="25">
        <f>IF(Table1[[#This Row],[Adjusted_ULife_HP]]=5,VLOOKUP(Table1[[#This Row],[Item_Handpump]],[1]!Table2[#All],8,FALSE),0)</f>
        <v>0</v>
      </c>
      <c r="AV17" s="25">
        <f>IF(Table1[[#This Row],[Adjusted_ULife_PF]]=5,VLOOKUP(Table1[[#This Row],[Item_Platform]],[1]!Table2[#All],8,FALSE),0)</f>
        <v>0</v>
      </c>
      <c r="AW17" s="25">
        <f>SUM(Table1[[#This Row],[yr 5_wl]:[yr 5_pf]])</f>
        <v>0</v>
      </c>
      <c r="AX17" s="25">
        <f>IF(Table1[[#This Row],[Years_Next_Rehab_Well]]=6,VLOOKUP(Table1[[#This Row],[Item_Rehab_WL]],[1]!Table2[#All],9,FALSE),0)</f>
        <v>0</v>
      </c>
      <c r="AY17" s="25">
        <f>IF(Table1[[#This Row],[Adjusted_ULife_HP]]=6,VLOOKUP(Table1[[#This Row],[Item_Handpump]],[1]!Table2[#All],9,FALSE),0)</f>
        <v>0</v>
      </c>
      <c r="AZ17" s="25">
        <f>IF(Table1[[#This Row],[Adjusted_ULife_PF]]=6,VLOOKUP(Table1[[#This Row],[Item_Platform]],[1]!Table2[#All],9,FALSE),0)</f>
        <v>0</v>
      </c>
      <c r="BA17" s="25">
        <f>SUM(Table1[[#This Row],[yr 6_wl]:[yr 6_pf]])</f>
        <v>0</v>
      </c>
      <c r="BB17" s="25">
        <f>IF(Table1[[#This Row],[Years_Next_Rehab_Well]]=7,VLOOKUP(Table1[[#This Row],[Item_Rehab_WL]],[1]!Table2[#All],10,FALSE),0)</f>
        <v>0</v>
      </c>
      <c r="BC17" s="25">
        <f>IF(Table1[[#This Row],[Adjusted_ULife_HP]]=7,VLOOKUP(Table1[[#This Row],[Item_Handpump]],[1]!Table2[#All],10,FALSE),0)</f>
        <v>0</v>
      </c>
      <c r="BD17" s="25">
        <f>IF(Table1[[#This Row],[Adjusted_ULife_PF]]=7,VLOOKUP(Table1[[#This Row],[Item_Platform]],[1]!Table2[#All],10,FALSE),0)</f>
        <v>0</v>
      </c>
      <c r="BE17" s="25">
        <f>SUM(Table1[[#This Row],[yr 7_wl]:[yr 7_pf]])</f>
        <v>0</v>
      </c>
      <c r="BF17" s="25">
        <f>IF(Table1[[#This Row],[Years_Next_Rehab_Well]]=8,VLOOKUP(Table1[[#This Row],[Item_Rehab_WL]],[1]!Table2[#All],11,FALSE),0)</f>
        <v>0</v>
      </c>
      <c r="BG17" s="25">
        <f>IF(Table1[[#This Row],[Adjusted_ULife_HP]]=8,VLOOKUP(Table1[[#This Row],[Item_Handpump]],[1]!Table2[#All],11,FALSE),0)</f>
        <v>0</v>
      </c>
      <c r="BH17" s="25">
        <f>IF(Table1[[#This Row],[Adjusted_ULife_PF]]=8,VLOOKUP(Table1[[#This Row],[Item_Platform]],[1]!Table2[#All],11,FALSE),0)</f>
        <v>0</v>
      </c>
      <c r="BI17" s="25">
        <f>SUM(Table1[[#This Row],[yr 8_wl]:[yr 8_pf]])</f>
        <v>0</v>
      </c>
      <c r="BJ17" s="25">
        <f>IF(Table1[[#This Row],[Years_Next_Rehab_Well]]=9,VLOOKUP(Table1[[#This Row],[Item_Rehab_WL]],[1]!Table2[#All],12,FALSE),0)</f>
        <v>0</v>
      </c>
      <c r="BK17" s="25">
        <f>IF(Table1[[#This Row],[Adjusted_ULife_HP]]=9,VLOOKUP(Table1[[#This Row],[Item_Handpump]],[1]!Table2[#All],12,FALSE),0)</f>
        <v>0</v>
      </c>
      <c r="BL17" s="25">
        <f>IF(Table1[[#This Row],[Adjusted_ULife_PF]]=9,VLOOKUP(Table1[[#This Row],[Item_Platform]],[1]!Table2[#All],12,FALSE),0)</f>
        <v>4159.6181361752842</v>
      </c>
      <c r="BM17" s="25">
        <f>SUM(Table1[[#This Row],[yr 9_wl]:[yr 9_pf]])</f>
        <v>4159.6181361752842</v>
      </c>
      <c r="BN17" s="25">
        <f>IF(Table1[[#This Row],[Years_Next_Rehab_Well]]=10,VLOOKUP(Table1[[#This Row],[Item_Rehab_WL]],[1]!Table2[#All],13,FALSE),0)</f>
        <v>0</v>
      </c>
      <c r="BO17" s="25">
        <f>IF(Table1[[#This Row],[Adjusted_ULife_HP]]=10,VLOOKUP(Table1[[#This Row],[Item_Handpump]],[1]!Table2[#All],13,FALSE),0)</f>
        <v>0</v>
      </c>
      <c r="BP17" s="25">
        <f>IF(Table1[[#This Row],[Adjusted_ULife_PF]]=10,VLOOKUP(Table1[[#This Row],[Item_Platform]],[1]!Table2[#All],13,FALSE),0)</f>
        <v>0</v>
      </c>
      <c r="BQ17" s="25">
        <f>SUM(Table1[[#This Row],[yr 10_wl]:[yr 10_pf]])</f>
        <v>0</v>
      </c>
      <c r="BR17" s="25">
        <f>IF(Table1[[#This Row],[Years_Next_Rehab_Well]]=11,VLOOKUP(Table1[[#This Row],[Item_Rehab_WL]],[1]!Table2[#All],14,FALSE),0)</f>
        <v>0</v>
      </c>
      <c r="BS17" s="25">
        <f>IF(Table1[[#This Row],[Adjusted_ULife_HP]]=11,VLOOKUP(Table1[[#This Row],[Item_Handpump]],[1]!Table2[#All],14,FALSE),0)</f>
        <v>0</v>
      </c>
      <c r="BT17" s="25">
        <f>IF(Table1[[#This Row],[Adjusted_ULife_PF]]=11,VLOOKUP(Table1[[#This Row],[Item_Platform]],[1]!Table2[#All],14,FALSE),0)</f>
        <v>0</v>
      </c>
      <c r="BU17" s="25">
        <f>SUM(Table1[[#This Row],[yr 11_wl]:[yr 11_pf]])</f>
        <v>0</v>
      </c>
      <c r="BV17" s="25">
        <f>IF(Table1[[#This Row],[Years_Next_Rehab_Well]]=12,VLOOKUP(Table1[[#This Row],[Item_Rehab_WL]],[1]!Table2[#All],15,FALSE),0)</f>
        <v>0</v>
      </c>
      <c r="BW17" s="25">
        <f>IF(Table1[[#This Row],[Adjusted_ULife_HP]]=12,VLOOKUP(Table1[[#This Row],[Item_Handpump]],[1]!Table2[#All],15,FALSE),0)</f>
        <v>0</v>
      </c>
      <c r="BX17" s="25">
        <f>IF(Table1[[#This Row],[Adjusted_ULife_PF]]=12,VLOOKUP(Table1[[#This Row],[Item_Platform]],[1]!Table2[#All],15,FALSE),0)</f>
        <v>0</v>
      </c>
      <c r="BY17" s="25">
        <f>SUM(Table1[[#This Row],[yr 12_wl]:[yr 12_pf]])</f>
        <v>0</v>
      </c>
      <c r="BZ17" s="25">
        <f>IF(Table1[[#This Row],[Years_Next_Rehab_Well]]=13,VLOOKUP(Table1[[#This Row],[Item_Rehab_WL]],[1]!Table2[#All],16,FALSE),0)</f>
        <v>0</v>
      </c>
      <c r="CA17" s="25">
        <f>IF(Table1[[#This Row],[Adjusted_ULife_HP]]=13,VLOOKUP(Table1[[#This Row],[Item_Handpump]],[1]!Table2[#All],16,FALSE),0)</f>
        <v>0</v>
      </c>
      <c r="CB17" s="25">
        <f>IF(Table1[[#This Row],[Adjusted_ULife_PF]]=13,VLOOKUP(Table1[[#This Row],[Item_Platform]],[1]!Table2[#All],16,FALSE),0)</f>
        <v>0</v>
      </c>
      <c r="CC17" s="25">
        <f>SUM(Table1[[#This Row],[yr 13_wl]:[yr 13_pf]])</f>
        <v>0</v>
      </c>
      <c r="CD17" s="12"/>
    </row>
    <row r="18" spans="1:82" s="11" customFormat="1" x14ac:dyDescent="0.25">
      <c r="A18" s="11" t="str">
        <f>IF([1]Input_monitoring_data!A14="","",[1]Input_monitoring_data!A14)</f>
        <v>22jn-8ub2-9xna</v>
      </c>
      <c r="B18" s="22" t="str">
        <f>[1]Input_monitoring_data!BH14</f>
        <v>Ntotroso</v>
      </c>
      <c r="C18" s="22" t="str">
        <f>[1]Input_monitoring_data!BI14</f>
        <v>Ensonyame Ye No.2</v>
      </c>
      <c r="D18" s="22" t="str">
        <f>[1]Input_monitoring_data!P14</f>
        <v>7.104551434791375</v>
      </c>
      <c r="E18" s="22" t="str">
        <f>[1]Input_monitoring_data!Q14</f>
        <v>-2.3071886132049704</v>
      </c>
      <c r="F18" s="22" t="str">
        <f>[1]Input_monitoring_data!V14</f>
        <v>Nearer To Agya Darkon's House</v>
      </c>
      <c r="G18" s="23" t="str">
        <f>[1]Input_monitoring_data!U14</f>
        <v>Borehole</v>
      </c>
      <c r="H18" s="22">
        <f>[1]Input_monitoring_data!X14</f>
        <v>2012</v>
      </c>
      <c r="I18" s="21" t="str">
        <f>[1]Input_monitoring_data!AB14</f>
        <v>Borehole redevelopment</v>
      </c>
      <c r="J18" s="21">
        <f>[1]Input_monitoring_data!AC14</f>
        <v>0</v>
      </c>
      <c r="K18" s="23" t="str">
        <f>[1]Input_monitoring_data!W14</f>
        <v>AfriDev</v>
      </c>
      <c r="L18" s="22">
        <f>[1]Input_monitoring_data!X14</f>
        <v>2012</v>
      </c>
      <c r="M18" s="21">
        <f>IF([1]Input_monitoring_data!BL14&gt;'Point Sources_Asset_Register_'!L18,[1]Input_monitoring_data!BL14,"")</f>
        <v>2013</v>
      </c>
      <c r="N18" s="22" t="str">
        <f>[1]Input_monitoring_data!BQ14</f>
        <v>functional</v>
      </c>
      <c r="O18" s="22" t="str">
        <f>[1]Input_monitoring_data!AJ14</f>
        <v>facility under repair</v>
      </c>
      <c r="P18" s="23" t="s">
        <v>0</v>
      </c>
      <c r="Q18" s="22">
        <f>L18</f>
        <v>2012</v>
      </c>
      <c r="R18" s="21">
        <f>M18</f>
        <v>2013</v>
      </c>
      <c r="S18" s="20">
        <f>[1]Input_EUL_CRC_ERC!$B$17-Table1[[#This Row],[Year Installed_WL]]</f>
        <v>5</v>
      </c>
      <c r="T18" s="20">
        <f>[1]Input_EUL_CRC_ERC!$B$17-(IF(Table1[[#This Row],[Year Last_Rehab_WL ]]=0,Table1[[#This Row],[Year Installed_WL]],[1]Input_EUL_CRC_ERC!$B$17-Table1[[#This Row],[Year Last_Rehab_WL ]]))</f>
        <v>5</v>
      </c>
      <c r="U18" s="20">
        <f>(VLOOKUP(Table1[[#This Row],[Item_Rehab_WL]],[1]Input_EUL_CRC_ERC!$C$17:$E$27,2,FALSE)-Table1[[#This Row],[Last Rehab Age]])</f>
        <v>10</v>
      </c>
      <c r="V18" s="19">
        <f>[1]Input_EUL_CRC_ERC!$B$17-Table1[[#This Row],[Year Installed_HP]]</f>
        <v>5</v>
      </c>
      <c r="W18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18" s="19">
        <f>[1]Input_EUL_CRC_ERC!$B$17-Table1[[#This Row],[Year Installed_PF]]</f>
        <v>5</v>
      </c>
      <c r="Y18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8" s="25">
        <f>IF(Table1[[#This Row],[Years_Next_Rehab_Well]]&lt;=0,VLOOKUP(Table1[[#This Row],[Item_Rehab_WL]],[1]!Table2[#All],3,FALSE),0)</f>
        <v>0</v>
      </c>
      <c r="AA18" s="18">
        <f>IF(Table1[[#This Row],[Adjusted_ULife_HP]]&lt;=0,VLOOKUP(Table1[[#This Row],[Item_Handpump]],[1]!Table2[#All],3,FALSE),0)</f>
        <v>0</v>
      </c>
      <c r="AB18" s="18">
        <f>IF(Table1[[#This Row],[Adjusted_ULife_PF]]&lt;=0,VLOOKUP(Table1[[#This Row],[Item_Platform]],[1]!Table2[#All],3,FALSE),0)</f>
        <v>0</v>
      </c>
      <c r="AC18" s="18">
        <f>SUM(Table1[[#This Row],[current yr_wl]:[current yr_pf]])</f>
        <v>0</v>
      </c>
      <c r="AD18" s="25">
        <f>IF(Table1[[#This Row],[Years_Next_Rehab_Well]]=1,VLOOKUP(Table1[[#This Row],[Item_Rehab_WL]],[1]!Table2[#All],4,FALSE),0)</f>
        <v>0</v>
      </c>
      <c r="AE18" s="25">
        <f>IF(Table1[[#This Row],[Adjusted_ULife_HP]]=1,VLOOKUP(Table1[[#This Row],[Item_Handpump]],[1]!Table2[#All],4,FALSE),0)</f>
        <v>0</v>
      </c>
      <c r="AF18" s="25">
        <f>IF(Table1[[#This Row],[Adjusted_ULife_PF]]=1,VLOOKUP(Table1[[#This Row],[Item_Platform]],[1]!Table2[#All],4,FALSE),0)</f>
        <v>0</v>
      </c>
      <c r="AG18" s="25">
        <f>SUM(Table1[[#This Row],[yr 1_wl]:[yr 1_pf]])</f>
        <v>0</v>
      </c>
      <c r="AH18" s="25">
        <f>IF(Table1[[#This Row],[Years_Next_Rehab_Well]]=2,VLOOKUP(Table1[[#This Row],[Item_Rehab_WL]],[1]!Table2[#All],5,FALSE),0)</f>
        <v>0</v>
      </c>
      <c r="AI18" s="25">
        <f>IF(Table1[[#This Row],[Adjusted_ULife_HP]]=2,VLOOKUP(Table1[[#This Row],[Item_Handpump]],[1]!Table2[#All],5,FALSE),0)</f>
        <v>0</v>
      </c>
      <c r="AJ18" s="25">
        <f>IF(Table1[[#This Row],[Adjusted_ULife_PF]]=2,VLOOKUP(Table1[[#This Row],[Item_Platform]],[1]!Table2[#All],5,FALSE),0)</f>
        <v>0</v>
      </c>
      <c r="AK18" s="25">
        <f>SUM(Table1[[#This Row],[yr 2_wl]:[yr 2_pf]])</f>
        <v>0</v>
      </c>
      <c r="AL18" s="25">
        <f>IF(Table1[[#This Row],[Years_Next_Rehab_Well]]=3,VLOOKUP(Table1[[#This Row],[Item_Rehab_WL]],[1]!Table2[#All],6,FALSE),0)</f>
        <v>0</v>
      </c>
      <c r="AM18" s="25">
        <f>IF(Table1[[#This Row],[Adjusted_ULife_HP]]=3,VLOOKUP(Table1[[#This Row],[Item_Handpump]],[1]!Table2[#All],6,FALSE),0)</f>
        <v>0</v>
      </c>
      <c r="AN18" s="25">
        <f>IF(Table1[[#This Row],[Adjusted_ULife_PF]]=3,VLOOKUP(Table1[[#This Row],[Item_Platform]],[1]!Table2[#All],6,FALSE),0)</f>
        <v>0</v>
      </c>
      <c r="AO18" s="25">
        <f>SUM(Table1[[#This Row],[yr 3_wl]:[yr 3_pf]])</f>
        <v>0</v>
      </c>
      <c r="AP18" s="25">
        <f>IF(Table1[[#This Row],[Years_Next_Rehab_Well]]=4,VLOOKUP(Table1[[#This Row],[Item_Rehab_WL]],[1]!Table2[#All],7,FALSE),0)</f>
        <v>0</v>
      </c>
      <c r="AQ18" s="25">
        <f>IF(Table1[[#This Row],[Adjusted_ULife_HP]]=4,VLOOKUP(Table1[[#This Row],[Item_Handpump]],[1]!Table2[#All],7,FALSE),0)</f>
        <v>0</v>
      </c>
      <c r="AR18" s="25">
        <f>IF(Table1[[#This Row],[Adjusted_ULife_PF]]=4,VLOOKUP(Table1[[#This Row],[Item_Platform]],[1]!Table2[#All],7,FALSE),0)</f>
        <v>0</v>
      </c>
      <c r="AS18" s="25">
        <f>SUM(Table1[[#This Row],[yr 4_wl]:[yr 4_pf]])</f>
        <v>0</v>
      </c>
      <c r="AT18" s="25">
        <f>IF(Table1[[#This Row],[Years_Next_Rehab_Well]]=5,VLOOKUP(Table1[[#This Row],[Item_Rehab_WL]],[1]!Table2[#All],8,FALSE),0)</f>
        <v>0</v>
      </c>
      <c r="AU18" s="25">
        <f>IF(Table1[[#This Row],[Adjusted_ULife_HP]]=5,VLOOKUP(Table1[[#This Row],[Item_Handpump]],[1]!Table2[#All],8,FALSE),0)</f>
        <v>0</v>
      </c>
      <c r="AV18" s="25">
        <f>IF(Table1[[#This Row],[Adjusted_ULife_PF]]=5,VLOOKUP(Table1[[#This Row],[Item_Platform]],[1]!Table2[#All],8,FALSE),0)</f>
        <v>0</v>
      </c>
      <c r="AW18" s="25">
        <f>SUM(Table1[[#This Row],[yr 5_wl]:[yr 5_pf]])</f>
        <v>0</v>
      </c>
      <c r="AX18" s="25">
        <f>IF(Table1[[#This Row],[Years_Next_Rehab_Well]]=6,VLOOKUP(Table1[[#This Row],[Item_Rehab_WL]],[1]!Table2[#All],9,FALSE),0)</f>
        <v>0</v>
      </c>
      <c r="AY18" s="25">
        <f>IF(Table1[[#This Row],[Adjusted_ULife_HP]]=6,VLOOKUP(Table1[[#This Row],[Item_Handpump]],[1]!Table2[#All],9,FALSE),0)</f>
        <v>0</v>
      </c>
      <c r="AZ18" s="25">
        <f>IF(Table1[[#This Row],[Adjusted_ULife_PF]]=6,VLOOKUP(Table1[[#This Row],[Item_Platform]],[1]!Table2[#All],9,FALSE),0)</f>
        <v>2960.7340277760022</v>
      </c>
      <c r="BA18" s="25">
        <f>SUM(Table1[[#This Row],[yr 6_wl]:[yr 6_pf]])</f>
        <v>2960.7340277760022</v>
      </c>
      <c r="BB18" s="25">
        <f>IF(Table1[[#This Row],[Years_Next_Rehab_Well]]=7,VLOOKUP(Table1[[#This Row],[Item_Rehab_WL]],[1]!Table2[#All],10,FALSE),0)</f>
        <v>0</v>
      </c>
      <c r="BC18" s="25">
        <f>IF(Table1[[#This Row],[Adjusted_ULife_HP]]=7,VLOOKUP(Table1[[#This Row],[Item_Handpump]],[1]!Table2[#All],10,FALSE),0)</f>
        <v>0</v>
      </c>
      <c r="BD18" s="25">
        <f>IF(Table1[[#This Row],[Adjusted_ULife_PF]]=7,VLOOKUP(Table1[[#This Row],[Item_Platform]],[1]!Table2[#All],10,FALSE),0)</f>
        <v>0</v>
      </c>
      <c r="BE18" s="25">
        <f>SUM(Table1[[#This Row],[yr 7_wl]:[yr 7_pf]])</f>
        <v>0</v>
      </c>
      <c r="BF18" s="25">
        <f>IF(Table1[[#This Row],[Years_Next_Rehab_Well]]=8,VLOOKUP(Table1[[#This Row],[Item_Rehab_WL]],[1]!Table2[#All],11,FALSE),0)</f>
        <v>0</v>
      </c>
      <c r="BG18" s="25">
        <f>IF(Table1[[#This Row],[Adjusted_ULife_HP]]=8,VLOOKUP(Table1[[#This Row],[Item_Handpump]],[1]!Table2[#All],11,FALSE),0)</f>
        <v>0</v>
      </c>
      <c r="BH18" s="25">
        <f>IF(Table1[[#This Row],[Adjusted_ULife_PF]]=8,VLOOKUP(Table1[[#This Row],[Item_Platform]],[1]!Table2[#All],11,FALSE),0)</f>
        <v>0</v>
      </c>
      <c r="BI18" s="25">
        <f>SUM(Table1[[#This Row],[yr 8_wl]:[yr 8_pf]])</f>
        <v>0</v>
      </c>
      <c r="BJ18" s="25">
        <f>IF(Table1[[#This Row],[Years_Next_Rehab_Well]]=9,VLOOKUP(Table1[[#This Row],[Item_Rehab_WL]],[1]!Table2[#All],12,FALSE),0)</f>
        <v>0</v>
      </c>
      <c r="BK18" s="25">
        <f>IF(Table1[[#This Row],[Adjusted_ULife_HP]]=9,VLOOKUP(Table1[[#This Row],[Item_Handpump]],[1]!Table2[#All],12,FALSE),0)</f>
        <v>0</v>
      </c>
      <c r="BL18" s="25">
        <f>IF(Table1[[#This Row],[Adjusted_ULife_PF]]=9,VLOOKUP(Table1[[#This Row],[Item_Platform]],[1]!Table2[#All],12,FALSE),0)</f>
        <v>0</v>
      </c>
      <c r="BM18" s="25">
        <f>SUM(Table1[[#This Row],[yr 9_wl]:[yr 9_pf]])</f>
        <v>0</v>
      </c>
      <c r="BN18" s="25">
        <f>IF(Table1[[#This Row],[Years_Next_Rehab_Well]]=10,VLOOKUP(Table1[[#This Row],[Item_Rehab_WL]],[1]!Table2[#All],13,FALSE),0)</f>
        <v>11388.110097262112</v>
      </c>
      <c r="BO18" s="25">
        <f>IF(Table1[[#This Row],[Adjusted_ULife_HP]]=10,VLOOKUP(Table1[[#This Row],[Item_Handpump]],[1]!Table2[#All],13,FALSE),0)</f>
        <v>0</v>
      </c>
      <c r="BP18" s="25">
        <f>IF(Table1[[#This Row],[Adjusted_ULife_PF]]=10,VLOOKUP(Table1[[#This Row],[Item_Platform]],[1]!Table2[#All],13,FALSE),0)</f>
        <v>0</v>
      </c>
      <c r="BQ18" s="25">
        <f>SUM(Table1[[#This Row],[yr 10_wl]:[yr 10_pf]])</f>
        <v>11388.110097262112</v>
      </c>
      <c r="BR18" s="25">
        <f>IF(Table1[[#This Row],[Years_Next_Rehab_Well]]=11,VLOOKUP(Table1[[#This Row],[Item_Rehab_WL]],[1]!Table2[#All],14,FALSE),0)</f>
        <v>0</v>
      </c>
      <c r="BS18" s="25">
        <f>IF(Table1[[#This Row],[Adjusted_ULife_HP]]=11,VLOOKUP(Table1[[#This Row],[Item_Handpump]],[1]!Table2[#All],14,FALSE),0)</f>
        <v>0</v>
      </c>
      <c r="BT18" s="25">
        <f>IF(Table1[[#This Row],[Adjusted_ULife_PF]]=11,VLOOKUP(Table1[[#This Row],[Item_Platform]],[1]!Table2[#All],14,FALSE),0)</f>
        <v>0</v>
      </c>
      <c r="BU18" s="25">
        <f>SUM(Table1[[#This Row],[yr 11_wl]:[yr 11_pf]])</f>
        <v>0</v>
      </c>
      <c r="BV18" s="25">
        <f>IF(Table1[[#This Row],[Years_Next_Rehab_Well]]=12,VLOOKUP(Table1[[#This Row],[Item_Rehab_WL]],[1]!Table2[#All],15,FALSE),0)</f>
        <v>0</v>
      </c>
      <c r="BW18" s="25">
        <f>IF(Table1[[#This Row],[Adjusted_ULife_HP]]=12,VLOOKUP(Table1[[#This Row],[Item_Handpump]],[1]!Table2[#All],15,FALSE),0)</f>
        <v>0</v>
      </c>
      <c r="BX18" s="25">
        <f>IF(Table1[[#This Row],[Adjusted_ULife_PF]]=12,VLOOKUP(Table1[[#This Row],[Item_Platform]],[1]!Table2[#All],15,FALSE),0)</f>
        <v>0</v>
      </c>
      <c r="BY18" s="25">
        <f>SUM(Table1[[#This Row],[yr 12_wl]:[yr 12_pf]])</f>
        <v>0</v>
      </c>
      <c r="BZ18" s="25">
        <f>IF(Table1[[#This Row],[Years_Next_Rehab_Well]]=13,VLOOKUP(Table1[[#This Row],[Item_Rehab_WL]],[1]!Table2[#All],16,FALSE),0)</f>
        <v>0</v>
      </c>
      <c r="CA18" s="25">
        <f>IF(Table1[[#This Row],[Adjusted_ULife_HP]]=13,VLOOKUP(Table1[[#This Row],[Item_Handpump]],[1]!Table2[#All],16,FALSE),0)</f>
        <v>0</v>
      </c>
      <c r="CB18" s="25">
        <f>IF(Table1[[#This Row],[Adjusted_ULife_PF]]=13,VLOOKUP(Table1[[#This Row],[Item_Platform]],[1]!Table2[#All],16,FALSE),0)</f>
        <v>0</v>
      </c>
      <c r="CC18" s="25">
        <f>SUM(Table1[[#This Row],[yr 13_wl]:[yr 13_pf]])</f>
        <v>0</v>
      </c>
      <c r="CD18" s="12"/>
    </row>
    <row r="19" spans="1:82" s="11" customFormat="1" x14ac:dyDescent="0.25">
      <c r="A19" s="11" t="str">
        <f>IF([1]Input_monitoring_data!A15="","",[1]Input_monitoring_data!A15)</f>
        <v>27w2-7a50-j634</v>
      </c>
      <c r="B19" s="22" t="str">
        <f>[1]Input_monitoring_data!BH15</f>
        <v>Ntotroso</v>
      </c>
      <c r="C19" s="22" t="str">
        <f>[1]Input_monitoring_data!BI15</f>
        <v>Ntotroso</v>
      </c>
      <c r="D19" s="22" t="str">
        <f>[1]Input_monitoring_data!P15</f>
        <v>7.059257052181688</v>
      </c>
      <c r="E19" s="22" t="str">
        <f>[1]Input_monitoring_data!Q15</f>
        <v>-2.323361170300312</v>
      </c>
      <c r="F19" s="22" t="str">
        <f>[1]Input_monitoring_data!V15</f>
        <v>Nearer To Nadef Office</v>
      </c>
      <c r="G19" s="23" t="str">
        <f>[1]Input_monitoring_data!U15</f>
        <v>Borehole</v>
      </c>
      <c r="H19" s="22">
        <f>[1]Input_monitoring_data!X15</f>
        <v>2007</v>
      </c>
      <c r="I19" s="21" t="str">
        <f>[1]Input_monitoring_data!AB15</f>
        <v>Borehole redevelopment</v>
      </c>
      <c r="J19" s="21">
        <f>[1]Input_monitoring_data!AC15</f>
        <v>0</v>
      </c>
      <c r="K19" s="23" t="str">
        <f>[1]Input_monitoring_data!W15</f>
        <v>AfriDev</v>
      </c>
      <c r="L19" s="22">
        <f>[1]Input_monitoring_data!X15</f>
        <v>2007</v>
      </c>
      <c r="M19" s="21" t="str">
        <f>IF([1]Input_monitoring_data!BL15&gt;'Point Sources_Asset_Register_'!L19,[1]Input_monitoring_data!BL15,"")</f>
        <v/>
      </c>
      <c r="N19" s="22" t="str">
        <f>[1]Input_monitoring_data!BQ15</f>
        <v>functional</v>
      </c>
      <c r="O19" s="22">
        <f>[1]Input_monitoring_data!AJ15</f>
        <v>0</v>
      </c>
      <c r="P19" s="23" t="s">
        <v>0</v>
      </c>
      <c r="Q19" s="22">
        <f>L19</f>
        <v>2007</v>
      </c>
      <c r="R19" s="21" t="str">
        <f>M19</f>
        <v/>
      </c>
      <c r="S19" s="20">
        <f>[1]Input_EUL_CRC_ERC!$B$17-Table1[[#This Row],[Year Installed_WL]]</f>
        <v>10</v>
      </c>
      <c r="T19" s="20">
        <f>[1]Input_EUL_CRC_ERC!$B$17-(IF(Table1[[#This Row],[Year Last_Rehab_WL ]]=0,Table1[[#This Row],[Year Installed_WL]],[1]Input_EUL_CRC_ERC!$B$17-Table1[[#This Row],[Year Last_Rehab_WL ]]))</f>
        <v>10</v>
      </c>
      <c r="U19" s="20">
        <f>(VLOOKUP(Table1[[#This Row],[Item_Rehab_WL]],[1]Input_EUL_CRC_ERC!$C$17:$E$27,2,FALSE)-Table1[[#This Row],[Last Rehab Age]])</f>
        <v>5</v>
      </c>
      <c r="V19" s="19">
        <f>[1]Input_EUL_CRC_ERC!$B$17-Table1[[#This Row],[Year Installed_HP]]</f>
        <v>10</v>
      </c>
      <c r="W19" s="19">
        <f>(VLOOKUP(Table1[[#This Row],[Item_Handpump]],[1]!Table2[#All],2,FALSE))-(IF(Table1[[#This Row],[Year Last_Rehab_HP]]="",Table1[[#This Row],[Current Age_Handpump]],[1]Input_EUL_CRC_ERC!$B$17-Table1[[#This Row],[Year Last_Rehab_HP]]))</f>
        <v>10</v>
      </c>
      <c r="X19" s="19">
        <f>[1]Input_EUL_CRC_ERC!$B$17-Table1[[#This Row],[Year Installed_PF]]</f>
        <v>10</v>
      </c>
      <c r="Y19" s="19">
        <f>(VLOOKUP(Table1[[#This Row],[Item_Platform]],[1]!Table2[#All],2,FALSE))-(IF(Table1[[#This Row],[Year Last_Rehab_PF]]="",Table1[[#This Row],[Current Age_Platform]],[1]Input_EUL_CRC_ERC!$B$17-Table1[[#This Row],[Year Last_Rehab_PF]]))</f>
        <v>0</v>
      </c>
      <c r="Z19" s="25">
        <f>IF(Table1[[#This Row],[Years_Next_Rehab_Well]]&lt;=0,VLOOKUP(Table1[[#This Row],[Item_Rehab_WL]],[1]!Table2[#All],3,FALSE),0)</f>
        <v>0</v>
      </c>
      <c r="AA19" s="18">
        <f>IF(Table1[[#This Row],[Adjusted_ULife_HP]]&lt;=0,VLOOKUP(Table1[[#This Row],[Item_Handpump]],[1]!Table2[#All],3,FALSE),0)</f>
        <v>0</v>
      </c>
      <c r="AB19" s="18">
        <f>IF(Table1[[#This Row],[Adjusted_ULife_PF]]&lt;=0,VLOOKUP(Table1[[#This Row],[Item_Platform]],[1]!Table2[#All],3,FALSE),0)</f>
        <v>1500</v>
      </c>
      <c r="AC19" s="18">
        <f>SUM(Table1[[#This Row],[current yr_wl]:[current yr_pf]])</f>
        <v>1500</v>
      </c>
      <c r="AD19" s="25">
        <f>IF(Table1[[#This Row],[Years_Next_Rehab_Well]]=1,VLOOKUP(Table1[[#This Row],[Item_Rehab_WL]],[1]!Table2[#All],4,FALSE),0)</f>
        <v>0</v>
      </c>
      <c r="AE19" s="25">
        <f>IF(Table1[[#This Row],[Adjusted_ULife_HP]]=1,VLOOKUP(Table1[[#This Row],[Item_Handpump]],[1]!Table2[#All],4,FALSE),0)</f>
        <v>0</v>
      </c>
      <c r="AF19" s="25">
        <f>IF(Table1[[#This Row],[Adjusted_ULife_PF]]=1,VLOOKUP(Table1[[#This Row],[Item_Platform]],[1]!Table2[#All],4,FALSE),0)</f>
        <v>0</v>
      </c>
      <c r="AG19" s="25">
        <f>SUM(Table1[[#This Row],[yr 1_wl]:[yr 1_pf]])</f>
        <v>0</v>
      </c>
      <c r="AH19" s="25">
        <f>IF(Table1[[#This Row],[Years_Next_Rehab_Well]]=2,VLOOKUP(Table1[[#This Row],[Item_Rehab_WL]],[1]!Table2[#All],5,FALSE),0)</f>
        <v>0</v>
      </c>
      <c r="AI19" s="25">
        <f>IF(Table1[[#This Row],[Adjusted_ULife_HP]]=2,VLOOKUP(Table1[[#This Row],[Item_Handpump]],[1]!Table2[#All],5,FALSE),0)</f>
        <v>0</v>
      </c>
      <c r="AJ19" s="25">
        <f>IF(Table1[[#This Row],[Adjusted_ULife_PF]]=2,VLOOKUP(Table1[[#This Row],[Item_Platform]],[1]!Table2[#All],5,FALSE),0)</f>
        <v>0</v>
      </c>
      <c r="AK19" s="25">
        <f>SUM(Table1[[#This Row],[yr 2_wl]:[yr 2_pf]])</f>
        <v>0</v>
      </c>
      <c r="AL19" s="25">
        <f>IF(Table1[[#This Row],[Years_Next_Rehab_Well]]=3,VLOOKUP(Table1[[#This Row],[Item_Rehab_WL]],[1]!Table2[#All],6,FALSE),0)</f>
        <v>0</v>
      </c>
      <c r="AM19" s="25">
        <f>IF(Table1[[#This Row],[Adjusted_ULife_HP]]=3,VLOOKUP(Table1[[#This Row],[Item_Handpump]],[1]!Table2[#All],6,FALSE),0)</f>
        <v>0</v>
      </c>
      <c r="AN19" s="25">
        <f>IF(Table1[[#This Row],[Adjusted_ULife_PF]]=3,VLOOKUP(Table1[[#This Row],[Item_Platform]],[1]!Table2[#All],6,FALSE),0)</f>
        <v>0</v>
      </c>
      <c r="AO19" s="25">
        <f>SUM(Table1[[#This Row],[yr 3_wl]:[yr 3_pf]])</f>
        <v>0</v>
      </c>
      <c r="AP19" s="25">
        <f>IF(Table1[[#This Row],[Years_Next_Rehab_Well]]=4,VLOOKUP(Table1[[#This Row],[Item_Rehab_WL]],[1]!Table2[#All],7,FALSE),0)</f>
        <v>0</v>
      </c>
      <c r="AQ19" s="25">
        <f>IF(Table1[[#This Row],[Adjusted_ULife_HP]]=4,VLOOKUP(Table1[[#This Row],[Item_Handpump]],[1]!Table2[#All],7,FALSE),0)</f>
        <v>0</v>
      </c>
      <c r="AR19" s="25">
        <f>IF(Table1[[#This Row],[Adjusted_ULife_PF]]=4,VLOOKUP(Table1[[#This Row],[Item_Platform]],[1]!Table2[#All],7,FALSE),0)</f>
        <v>0</v>
      </c>
      <c r="AS19" s="25">
        <f>SUM(Table1[[#This Row],[yr 4_wl]:[yr 4_pf]])</f>
        <v>0</v>
      </c>
      <c r="AT19" s="25">
        <f>IF(Table1[[#This Row],[Years_Next_Rehab_Well]]=5,VLOOKUP(Table1[[#This Row],[Item_Rehab_WL]],[1]!Table2[#All],8,FALSE),0)</f>
        <v>6461.9195050666694</v>
      </c>
      <c r="AU19" s="25">
        <f>IF(Table1[[#This Row],[Adjusted_ULife_HP]]=5,VLOOKUP(Table1[[#This Row],[Item_Handpump]],[1]!Table2[#All],8,FALSE),0)</f>
        <v>0</v>
      </c>
      <c r="AV19" s="25">
        <f>IF(Table1[[#This Row],[Adjusted_ULife_PF]]=5,VLOOKUP(Table1[[#This Row],[Item_Platform]],[1]!Table2[#All],8,FALSE),0)</f>
        <v>0</v>
      </c>
      <c r="AW19" s="25">
        <f>SUM(Table1[[#This Row],[yr 5_wl]:[yr 5_pf]])</f>
        <v>6461.9195050666694</v>
      </c>
      <c r="AX19" s="25">
        <f>IF(Table1[[#This Row],[Years_Next_Rehab_Well]]=6,VLOOKUP(Table1[[#This Row],[Item_Rehab_WL]],[1]!Table2[#All],9,FALSE),0)</f>
        <v>0</v>
      </c>
      <c r="AY19" s="25">
        <f>IF(Table1[[#This Row],[Adjusted_ULife_HP]]=6,VLOOKUP(Table1[[#This Row],[Item_Handpump]],[1]!Table2[#All],9,FALSE),0)</f>
        <v>0</v>
      </c>
      <c r="AZ19" s="25">
        <f>IF(Table1[[#This Row],[Adjusted_ULife_PF]]=6,VLOOKUP(Table1[[#This Row],[Item_Platform]],[1]!Table2[#All],9,FALSE),0)</f>
        <v>0</v>
      </c>
      <c r="BA19" s="25">
        <f>SUM(Table1[[#This Row],[yr 6_wl]:[yr 6_pf]])</f>
        <v>0</v>
      </c>
      <c r="BB19" s="25">
        <f>IF(Table1[[#This Row],[Years_Next_Rehab_Well]]=7,VLOOKUP(Table1[[#This Row],[Item_Rehab_WL]],[1]!Table2[#All],10,FALSE),0)</f>
        <v>0</v>
      </c>
      <c r="BC19" s="25">
        <f>IF(Table1[[#This Row],[Adjusted_ULife_HP]]=7,VLOOKUP(Table1[[#This Row],[Item_Handpump]],[1]!Table2[#All],10,FALSE),0)</f>
        <v>0</v>
      </c>
      <c r="BD19" s="25">
        <f>IF(Table1[[#This Row],[Adjusted_ULife_PF]]=7,VLOOKUP(Table1[[#This Row],[Item_Platform]],[1]!Table2[#All],10,FALSE),0)</f>
        <v>0</v>
      </c>
      <c r="BE19" s="25">
        <f>SUM(Table1[[#This Row],[yr 7_wl]:[yr 7_pf]])</f>
        <v>0</v>
      </c>
      <c r="BF19" s="25">
        <f>IF(Table1[[#This Row],[Years_Next_Rehab_Well]]=8,VLOOKUP(Table1[[#This Row],[Item_Rehab_WL]],[1]!Table2[#All],11,FALSE),0)</f>
        <v>0</v>
      </c>
      <c r="BG19" s="25">
        <f>IF(Table1[[#This Row],[Adjusted_ULife_HP]]=8,VLOOKUP(Table1[[#This Row],[Item_Handpump]],[1]!Table2[#All],11,FALSE),0)</f>
        <v>0</v>
      </c>
      <c r="BH19" s="25">
        <f>IF(Table1[[#This Row],[Adjusted_ULife_PF]]=8,VLOOKUP(Table1[[#This Row],[Item_Platform]],[1]!Table2[#All],11,FALSE),0)</f>
        <v>0</v>
      </c>
      <c r="BI19" s="25">
        <f>SUM(Table1[[#This Row],[yr 8_wl]:[yr 8_pf]])</f>
        <v>0</v>
      </c>
      <c r="BJ19" s="25">
        <f>IF(Table1[[#This Row],[Years_Next_Rehab_Well]]=9,VLOOKUP(Table1[[#This Row],[Item_Rehab_WL]],[1]!Table2[#All],12,FALSE),0)</f>
        <v>0</v>
      </c>
      <c r="BK19" s="25">
        <f>IF(Table1[[#This Row],[Adjusted_ULife_HP]]=9,VLOOKUP(Table1[[#This Row],[Item_Handpump]],[1]!Table2[#All],12,FALSE),0)</f>
        <v>0</v>
      </c>
      <c r="BL19" s="25">
        <f>IF(Table1[[#This Row],[Adjusted_ULife_PF]]=9,VLOOKUP(Table1[[#This Row],[Item_Platform]],[1]!Table2[#All],12,FALSE),0)</f>
        <v>0</v>
      </c>
      <c r="BM19" s="25">
        <f>SUM(Table1[[#This Row],[yr 9_wl]:[yr 9_pf]])</f>
        <v>0</v>
      </c>
      <c r="BN19" s="25">
        <f>IF(Table1[[#This Row],[Years_Next_Rehab_Well]]=10,VLOOKUP(Table1[[#This Row],[Item_Rehab_WL]],[1]!Table2[#All],13,FALSE),0)</f>
        <v>0</v>
      </c>
      <c r="BO19" s="25">
        <f>IF(Table1[[#This Row],[Adjusted_ULife_HP]]=10,VLOOKUP(Table1[[#This Row],[Item_Handpump]],[1]!Table2[#All],13,FALSE),0)</f>
        <v>1242.3392833376847</v>
      </c>
      <c r="BP19" s="25">
        <f>IF(Table1[[#This Row],[Adjusted_ULife_PF]]=10,VLOOKUP(Table1[[#This Row],[Item_Platform]],[1]!Table2[#All],13,FALSE),0)</f>
        <v>0</v>
      </c>
      <c r="BQ19" s="25">
        <f>SUM(Table1[[#This Row],[yr 10_wl]:[yr 10_pf]])</f>
        <v>1242.3392833376847</v>
      </c>
      <c r="BR19" s="25">
        <f>IF(Table1[[#This Row],[Years_Next_Rehab_Well]]=11,VLOOKUP(Table1[[#This Row],[Item_Rehab_WL]],[1]!Table2[#All],14,FALSE),0)</f>
        <v>0</v>
      </c>
      <c r="BS19" s="25">
        <f>IF(Table1[[#This Row],[Adjusted_ULife_HP]]=11,VLOOKUP(Table1[[#This Row],[Item_Handpump]],[1]!Table2[#All],14,FALSE),0)</f>
        <v>0</v>
      </c>
      <c r="BT19" s="25">
        <f>IF(Table1[[#This Row],[Adjusted_ULife_PF]]=11,VLOOKUP(Table1[[#This Row],[Item_Platform]],[1]!Table2[#All],14,FALSE),0)</f>
        <v>0</v>
      </c>
      <c r="BU19" s="25">
        <f>SUM(Table1[[#This Row],[yr 11_wl]:[yr 11_pf]])</f>
        <v>0</v>
      </c>
      <c r="BV19" s="25">
        <f>IF(Table1[[#This Row],[Years_Next_Rehab_Well]]=12,VLOOKUP(Table1[[#This Row],[Item_Rehab_WL]],[1]!Table2[#All],15,FALSE),0)</f>
        <v>0</v>
      </c>
      <c r="BW19" s="25">
        <f>IF(Table1[[#This Row],[Adjusted_ULife_HP]]=12,VLOOKUP(Table1[[#This Row],[Item_Handpump]],[1]!Table2[#All],15,FALSE),0)</f>
        <v>0</v>
      </c>
      <c r="BX19" s="25">
        <f>IF(Table1[[#This Row],[Adjusted_ULife_PF]]=12,VLOOKUP(Table1[[#This Row],[Item_Platform]],[1]!Table2[#All],15,FALSE),0)</f>
        <v>0</v>
      </c>
      <c r="BY19" s="25">
        <f>SUM(Table1[[#This Row],[yr 12_wl]:[yr 12_pf]])</f>
        <v>0</v>
      </c>
      <c r="BZ19" s="25">
        <f>IF(Table1[[#This Row],[Years_Next_Rehab_Well]]=13,VLOOKUP(Table1[[#This Row],[Item_Rehab_WL]],[1]!Table2[#All],16,FALSE),0)</f>
        <v>0</v>
      </c>
      <c r="CA19" s="25">
        <f>IF(Table1[[#This Row],[Adjusted_ULife_HP]]=13,VLOOKUP(Table1[[#This Row],[Item_Handpump]],[1]!Table2[#All],16,FALSE),0)</f>
        <v>0</v>
      </c>
      <c r="CB19" s="25">
        <f>IF(Table1[[#This Row],[Adjusted_ULife_PF]]=13,VLOOKUP(Table1[[#This Row],[Item_Platform]],[1]!Table2[#All],16,FALSE),0)</f>
        <v>0</v>
      </c>
      <c r="CC19" s="25">
        <f>SUM(Table1[[#This Row],[yr 13_wl]:[yr 13_pf]])</f>
        <v>0</v>
      </c>
      <c r="CD19" s="12"/>
    </row>
    <row r="20" spans="1:82" s="11" customFormat="1" x14ac:dyDescent="0.25">
      <c r="A20" s="11" t="str">
        <f>IF([1]Input_monitoring_data!A16="","",[1]Input_monitoring_data!A16)</f>
        <v>2gb1-1n12-86n7</v>
      </c>
      <c r="B20" s="22" t="str">
        <f>[1]Input_monitoring_data!BH16</f>
        <v>Goamu</v>
      </c>
      <c r="C20" s="22" t="str">
        <f>[1]Input_monitoring_data!BI16</f>
        <v>Owusu Ansahkrom</v>
      </c>
      <c r="D20" s="22" t="str">
        <f>[1]Input_monitoring_data!P16</f>
        <v>7.007965457787175</v>
      </c>
      <c r="E20" s="22" t="str">
        <f>[1]Input_monitoring_data!Q16</f>
        <v>-2.4417928724404216</v>
      </c>
      <c r="F20" s="22" t="str">
        <f>[1]Input_monitoring_data!V16</f>
        <v>Donkorkrom Krom Junction</v>
      </c>
      <c r="G20" s="23" t="str">
        <f>[1]Input_monitoring_data!U16</f>
        <v>Borehole</v>
      </c>
      <c r="H20" s="22">
        <f>[1]Input_monitoring_data!X16</f>
        <v>2013</v>
      </c>
      <c r="I20" s="21" t="str">
        <f>[1]Input_monitoring_data!AB16</f>
        <v>Borehole redevelopment</v>
      </c>
      <c r="J20" s="21">
        <f>[1]Input_monitoring_data!AC16</f>
        <v>0</v>
      </c>
      <c r="K20" s="23" t="str">
        <f>[1]Input_monitoring_data!W16</f>
        <v>AfriDev</v>
      </c>
      <c r="L20" s="22">
        <f>[1]Input_monitoring_data!X16</f>
        <v>2013</v>
      </c>
      <c r="M20" s="21">
        <f>IF([1]Input_monitoring_data!BL16&gt;'Point Sources_Asset_Register_'!L20,[1]Input_monitoring_data!BL16,"")</f>
        <v>2017</v>
      </c>
      <c r="N20" s="22" t="str">
        <f>[1]Input_monitoring_data!BQ16</f>
        <v>partially functional</v>
      </c>
      <c r="O20" s="22">
        <f>[1]Input_monitoring_data!AJ16</f>
        <v>0</v>
      </c>
      <c r="P20" s="23" t="s">
        <v>0</v>
      </c>
      <c r="Q20" s="22">
        <f>L20</f>
        <v>2013</v>
      </c>
      <c r="R20" s="21">
        <f>M20</f>
        <v>2017</v>
      </c>
      <c r="S20" s="20">
        <f>[1]Input_EUL_CRC_ERC!$B$17-Table1[[#This Row],[Year Installed_WL]]</f>
        <v>4</v>
      </c>
      <c r="T20" s="20">
        <f>[1]Input_EUL_CRC_ERC!$B$17-(IF(Table1[[#This Row],[Year Last_Rehab_WL ]]=0,Table1[[#This Row],[Year Installed_WL]],[1]Input_EUL_CRC_ERC!$B$17-Table1[[#This Row],[Year Last_Rehab_WL ]]))</f>
        <v>4</v>
      </c>
      <c r="U20" s="20">
        <f>(VLOOKUP(Table1[[#This Row],[Item_Rehab_WL]],[1]Input_EUL_CRC_ERC!$C$17:$E$27,2,FALSE)-Table1[[#This Row],[Last Rehab Age]])</f>
        <v>11</v>
      </c>
      <c r="V20" s="26">
        <f>[1]Input_EUL_CRC_ERC!$B$17-Table1[[#This Row],[Year Installed_HP]]</f>
        <v>4</v>
      </c>
      <c r="W20" s="26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20" s="26">
        <f>[1]Input_EUL_CRC_ERC!$B$17-Table1[[#This Row],[Year Installed_PF]]</f>
        <v>4</v>
      </c>
      <c r="Y20" s="26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20" s="25">
        <f>IF(Table1[[#This Row],[Years_Next_Rehab_Well]]&lt;=0,VLOOKUP(Table1[[#This Row],[Item_Rehab_WL]],[1]!Table2[#All],3,FALSE),0)</f>
        <v>0</v>
      </c>
      <c r="AA20" s="25">
        <f>IF(Table1[[#This Row],[Adjusted_ULife_HP]]&lt;=0,VLOOKUP(Table1[[#This Row],[Item_Handpump]],[1]!Table2[#All],3,FALSE),0)</f>
        <v>0</v>
      </c>
      <c r="AB20" s="25">
        <f>IF(Table1[[#This Row],[Adjusted_ULife_PF]]&lt;=0,VLOOKUP(Table1[[#This Row],[Item_Platform]],[1]!Table2[#All],3,FALSE),0)</f>
        <v>0</v>
      </c>
      <c r="AC20" s="25">
        <f>SUM(Table1[[#This Row],[current yr_wl]:[current yr_pf]])</f>
        <v>0</v>
      </c>
      <c r="AD20" s="25">
        <f>IF(Table1[[#This Row],[Years_Next_Rehab_Well]]=1,VLOOKUP(Table1[[#This Row],[Item_Rehab_WL]],[1]!Table2[#All],4,FALSE),0)</f>
        <v>0</v>
      </c>
      <c r="AE20" s="25">
        <f>IF(Table1[[#This Row],[Adjusted_ULife_HP]]=1,VLOOKUP(Table1[[#This Row],[Item_Handpump]],[1]!Table2[#All],4,FALSE),0)</f>
        <v>0</v>
      </c>
      <c r="AF20" s="25">
        <f>IF(Table1[[#This Row],[Adjusted_ULife_PF]]=1,VLOOKUP(Table1[[#This Row],[Item_Platform]],[1]!Table2[#All],4,FALSE),0)</f>
        <v>0</v>
      </c>
      <c r="AG20" s="25">
        <f>SUM(Table1[[#This Row],[yr 1_wl]:[yr 1_pf]])</f>
        <v>0</v>
      </c>
      <c r="AH20" s="25">
        <f>IF(Table1[[#This Row],[Years_Next_Rehab_Well]]=2,VLOOKUP(Table1[[#This Row],[Item_Rehab_WL]],[1]!Table2[#All],5,FALSE),0)</f>
        <v>0</v>
      </c>
      <c r="AI20" s="25">
        <f>IF(Table1[[#This Row],[Adjusted_ULife_HP]]=2,VLOOKUP(Table1[[#This Row],[Item_Handpump]],[1]!Table2[#All],5,FALSE),0)</f>
        <v>0</v>
      </c>
      <c r="AJ20" s="25">
        <f>IF(Table1[[#This Row],[Adjusted_ULife_PF]]=2,VLOOKUP(Table1[[#This Row],[Item_Platform]],[1]!Table2[#All],5,FALSE),0)</f>
        <v>0</v>
      </c>
      <c r="AK20" s="25">
        <f>SUM(Table1[[#This Row],[yr 2_wl]:[yr 2_pf]])</f>
        <v>0</v>
      </c>
      <c r="AL20" s="25">
        <f>IF(Table1[[#This Row],[Years_Next_Rehab_Well]]=3,VLOOKUP(Table1[[#This Row],[Item_Rehab_WL]],[1]!Table2[#All],6,FALSE),0)</f>
        <v>0</v>
      </c>
      <c r="AM20" s="25">
        <f>IF(Table1[[#This Row],[Adjusted_ULife_HP]]=3,VLOOKUP(Table1[[#This Row],[Item_Handpump]],[1]!Table2[#All],6,FALSE),0)</f>
        <v>0</v>
      </c>
      <c r="AN20" s="25">
        <f>IF(Table1[[#This Row],[Adjusted_ULife_PF]]=3,VLOOKUP(Table1[[#This Row],[Item_Platform]],[1]!Table2[#All],6,FALSE),0)</f>
        <v>0</v>
      </c>
      <c r="AO20" s="25">
        <f>SUM(Table1[[#This Row],[yr 3_wl]:[yr 3_pf]])</f>
        <v>0</v>
      </c>
      <c r="AP20" s="25">
        <f>IF(Table1[[#This Row],[Years_Next_Rehab_Well]]=4,VLOOKUP(Table1[[#This Row],[Item_Rehab_WL]],[1]!Table2[#All],7,FALSE),0)</f>
        <v>0</v>
      </c>
      <c r="AQ20" s="25">
        <f>IF(Table1[[#This Row],[Adjusted_ULife_HP]]=4,VLOOKUP(Table1[[#This Row],[Item_Handpump]],[1]!Table2[#All],7,FALSE),0)</f>
        <v>0</v>
      </c>
      <c r="AR20" s="25">
        <f>IF(Table1[[#This Row],[Adjusted_ULife_PF]]=4,VLOOKUP(Table1[[#This Row],[Item_Platform]],[1]!Table2[#All],7,FALSE),0)</f>
        <v>0</v>
      </c>
      <c r="AS20" s="25">
        <f>SUM(Table1[[#This Row],[yr 4_wl]:[yr 4_pf]])</f>
        <v>0</v>
      </c>
      <c r="AT20" s="25">
        <f>IF(Table1[[#This Row],[Years_Next_Rehab_Well]]=5,VLOOKUP(Table1[[#This Row],[Item_Rehab_WL]],[1]!Table2[#All],8,FALSE),0)</f>
        <v>0</v>
      </c>
      <c r="AU20" s="25">
        <f>IF(Table1[[#This Row],[Adjusted_ULife_HP]]=5,VLOOKUP(Table1[[#This Row],[Item_Handpump]],[1]!Table2[#All],8,FALSE),0)</f>
        <v>0</v>
      </c>
      <c r="AV20" s="25">
        <f>IF(Table1[[#This Row],[Adjusted_ULife_PF]]=5,VLOOKUP(Table1[[#This Row],[Item_Platform]],[1]!Table2[#All],8,FALSE),0)</f>
        <v>0</v>
      </c>
      <c r="AW20" s="25">
        <f>SUM(Table1[[#This Row],[yr 5_wl]:[yr 5_pf]])</f>
        <v>0</v>
      </c>
      <c r="AX20" s="25">
        <f>IF(Table1[[#This Row],[Years_Next_Rehab_Well]]=6,VLOOKUP(Table1[[#This Row],[Item_Rehab_WL]],[1]!Table2[#All],9,FALSE),0)</f>
        <v>0</v>
      </c>
      <c r="AY20" s="25">
        <f>IF(Table1[[#This Row],[Adjusted_ULife_HP]]=6,VLOOKUP(Table1[[#This Row],[Item_Handpump]],[1]!Table2[#All],9,FALSE),0)</f>
        <v>0</v>
      </c>
      <c r="AZ20" s="25">
        <f>IF(Table1[[#This Row],[Adjusted_ULife_PF]]=6,VLOOKUP(Table1[[#This Row],[Item_Platform]],[1]!Table2[#All],9,FALSE),0)</f>
        <v>0</v>
      </c>
      <c r="BA20" s="25">
        <f>SUM(Table1[[#This Row],[yr 6_wl]:[yr 6_pf]])</f>
        <v>0</v>
      </c>
      <c r="BB20" s="25">
        <f>IF(Table1[[#This Row],[Years_Next_Rehab_Well]]=7,VLOOKUP(Table1[[#This Row],[Item_Rehab_WL]],[1]!Table2[#All],10,FALSE),0)</f>
        <v>0</v>
      </c>
      <c r="BC20" s="25">
        <f>IF(Table1[[#This Row],[Adjusted_ULife_HP]]=7,VLOOKUP(Table1[[#This Row],[Item_Handpump]],[1]!Table2[#All],10,FALSE),0)</f>
        <v>0</v>
      </c>
      <c r="BD20" s="25">
        <f>IF(Table1[[#This Row],[Adjusted_ULife_PF]]=7,VLOOKUP(Table1[[#This Row],[Item_Platform]],[1]!Table2[#All],10,FALSE),0)</f>
        <v>0</v>
      </c>
      <c r="BE20" s="25">
        <f>SUM(Table1[[#This Row],[yr 7_wl]:[yr 7_pf]])</f>
        <v>0</v>
      </c>
      <c r="BF20" s="25">
        <f>IF(Table1[[#This Row],[Years_Next_Rehab_Well]]=8,VLOOKUP(Table1[[#This Row],[Item_Rehab_WL]],[1]!Table2[#All],11,FALSE),0)</f>
        <v>0</v>
      </c>
      <c r="BG20" s="25">
        <f>IF(Table1[[#This Row],[Adjusted_ULife_HP]]=8,VLOOKUP(Table1[[#This Row],[Item_Handpump]],[1]!Table2[#All],11,FALSE),0)</f>
        <v>0</v>
      </c>
      <c r="BH20" s="25">
        <f>IF(Table1[[#This Row],[Adjusted_ULife_PF]]=8,VLOOKUP(Table1[[#This Row],[Item_Platform]],[1]!Table2[#All],11,FALSE),0)</f>
        <v>0</v>
      </c>
      <c r="BI20" s="25">
        <f>SUM(Table1[[#This Row],[yr 8_wl]:[yr 8_pf]])</f>
        <v>0</v>
      </c>
      <c r="BJ20" s="25">
        <f>IF(Table1[[#This Row],[Years_Next_Rehab_Well]]=9,VLOOKUP(Table1[[#This Row],[Item_Rehab_WL]],[1]!Table2[#All],12,FALSE),0)</f>
        <v>0</v>
      </c>
      <c r="BK20" s="25">
        <f>IF(Table1[[#This Row],[Adjusted_ULife_HP]]=9,VLOOKUP(Table1[[#This Row],[Item_Handpump]],[1]!Table2[#All],12,FALSE),0)</f>
        <v>0</v>
      </c>
      <c r="BL20" s="25">
        <f>IF(Table1[[#This Row],[Adjusted_ULife_PF]]=9,VLOOKUP(Table1[[#This Row],[Item_Platform]],[1]!Table2[#All],12,FALSE),0)</f>
        <v>0</v>
      </c>
      <c r="BM20" s="25">
        <f>SUM(Table1[[#This Row],[yr 9_wl]:[yr 9_pf]])</f>
        <v>0</v>
      </c>
      <c r="BN20" s="25">
        <f>IF(Table1[[#This Row],[Years_Next_Rehab_Well]]=10,VLOOKUP(Table1[[#This Row],[Item_Rehab_WL]],[1]!Table2[#All],13,FALSE),0)</f>
        <v>0</v>
      </c>
      <c r="BO20" s="25">
        <f>IF(Table1[[#This Row],[Adjusted_ULife_HP]]=10,VLOOKUP(Table1[[#This Row],[Item_Handpump]],[1]!Table2[#All],13,FALSE),0)</f>
        <v>0</v>
      </c>
      <c r="BP20" s="25">
        <f>IF(Table1[[#This Row],[Adjusted_ULife_PF]]=10,VLOOKUP(Table1[[#This Row],[Item_Platform]],[1]!Table2[#All],13,FALSE),0)</f>
        <v>4658.7723125163184</v>
      </c>
      <c r="BQ20" s="25">
        <f>SUM(Table1[[#This Row],[yr 10_wl]:[yr 10_pf]])</f>
        <v>4658.7723125163184</v>
      </c>
      <c r="BR20" s="25">
        <f>IF(Table1[[#This Row],[Years_Next_Rehab_Well]]=11,VLOOKUP(Table1[[#This Row],[Item_Rehab_WL]],[1]!Table2[#All],14,FALSE),0)</f>
        <v>12754.683308933567</v>
      </c>
      <c r="BS20" s="25">
        <f>IF(Table1[[#This Row],[Adjusted_ULife_HP]]=11,VLOOKUP(Table1[[#This Row],[Item_Handpump]],[1]!Table2[#All],14,FALSE),0)</f>
        <v>0</v>
      </c>
      <c r="BT20" s="25">
        <f>IF(Table1[[#This Row],[Adjusted_ULife_PF]]=11,VLOOKUP(Table1[[#This Row],[Item_Platform]],[1]!Table2[#All],14,FALSE),0)</f>
        <v>0</v>
      </c>
      <c r="BU20" s="25">
        <f>SUM(Table1[[#This Row],[yr 11_wl]:[yr 11_pf]])</f>
        <v>12754.683308933567</v>
      </c>
      <c r="BV20" s="25">
        <f>IF(Table1[[#This Row],[Years_Next_Rehab_Well]]=12,VLOOKUP(Table1[[#This Row],[Item_Rehab_WL]],[1]!Table2[#All],15,FALSE),0)</f>
        <v>0</v>
      </c>
      <c r="BW20" s="25">
        <f>IF(Table1[[#This Row],[Adjusted_ULife_HP]]=12,VLOOKUP(Table1[[#This Row],[Item_Handpump]],[1]!Table2[#All],15,FALSE),0)</f>
        <v>0</v>
      </c>
      <c r="BX20" s="25">
        <f>IF(Table1[[#This Row],[Adjusted_ULife_PF]]=12,VLOOKUP(Table1[[#This Row],[Item_Platform]],[1]!Table2[#All],15,FALSE),0)</f>
        <v>0</v>
      </c>
      <c r="BY20" s="25">
        <f>SUM(Table1[[#This Row],[yr 12_wl]:[yr 12_pf]])</f>
        <v>0</v>
      </c>
      <c r="BZ20" s="25">
        <f>IF(Table1[[#This Row],[Years_Next_Rehab_Well]]=13,VLOOKUP(Table1[[#This Row],[Item_Rehab_WL]],[1]!Table2[#All],16,FALSE),0)</f>
        <v>0</v>
      </c>
      <c r="CA20" s="25">
        <f>IF(Table1[[#This Row],[Adjusted_ULife_HP]]=13,VLOOKUP(Table1[[#This Row],[Item_Handpump]],[1]!Table2[#All],16,FALSE),0)</f>
        <v>0</v>
      </c>
      <c r="CB20" s="25">
        <f>IF(Table1[[#This Row],[Adjusted_ULife_PF]]=13,VLOOKUP(Table1[[#This Row],[Item_Platform]],[1]!Table2[#All],16,FALSE),0)</f>
        <v>0</v>
      </c>
      <c r="CC20" s="25">
        <f>SUM(Table1[[#This Row],[yr 13_wl]:[yr 13_pf]])</f>
        <v>0</v>
      </c>
      <c r="CD20" s="12"/>
    </row>
    <row r="21" spans="1:82" s="11" customFormat="1" x14ac:dyDescent="0.25">
      <c r="A21" s="11" t="str">
        <f>IF([1]Input_monitoring_data!A17="","",[1]Input_monitoring_data!A17)</f>
        <v>2kcs-h4y8-t3pm</v>
      </c>
      <c r="B21" s="22" t="str">
        <f>[1]Input_monitoring_data!BH17</f>
        <v>KENYASI NO.2</v>
      </c>
      <c r="C21" s="22" t="str">
        <f>[1]Input_monitoring_data!BI17</f>
        <v>DOKYIKROM</v>
      </c>
      <c r="D21" s="22" t="str">
        <f>[1]Input_monitoring_data!P17</f>
        <v>7.042948250677207</v>
      </c>
      <c r="E21" s="22" t="str">
        <f>[1]Input_monitoring_data!Q17</f>
        <v>-2.397102229355042</v>
      </c>
      <c r="F21" s="22" t="str">
        <f>[1]Input_monitoring_data!V17</f>
        <v>Near Cocoa shed</v>
      </c>
      <c r="G21" s="23" t="str">
        <f>[1]Input_monitoring_data!U17</f>
        <v>Borehole</v>
      </c>
      <c r="H21" s="22">
        <f>[1]Input_monitoring_data!X17</f>
        <v>2015</v>
      </c>
      <c r="I21" s="21" t="str">
        <f>[1]Input_monitoring_data!AB17</f>
        <v>Borehole redevelopment</v>
      </c>
      <c r="J21" s="21">
        <f>[1]Input_monitoring_data!AC17</f>
        <v>0</v>
      </c>
      <c r="K21" s="23" t="str">
        <f>[1]Input_monitoring_data!W17</f>
        <v>AfriDev</v>
      </c>
      <c r="L21" s="22">
        <f>[1]Input_monitoring_data!X17</f>
        <v>2015</v>
      </c>
      <c r="M21" s="21">
        <f>IF([1]Input_monitoring_data!BL17&gt;'Point Sources_Asset_Register_'!L21,[1]Input_monitoring_data!BL17,"")</f>
        <v>2017</v>
      </c>
      <c r="N21" s="22" t="str">
        <f>[1]Input_monitoring_data!BQ17</f>
        <v>partially functional</v>
      </c>
      <c r="O21" s="22">
        <f>[1]Input_monitoring_data!AJ17</f>
        <v>0</v>
      </c>
      <c r="P21" s="23" t="s">
        <v>0</v>
      </c>
      <c r="Q21" s="22">
        <f>L21</f>
        <v>2015</v>
      </c>
      <c r="R21" s="21">
        <f>M21</f>
        <v>2017</v>
      </c>
      <c r="S21" s="20">
        <f>[1]Input_EUL_CRC_ERC!$B$17-Table1[[#This Row],[Year Installed_WL]]</f>
        <v>2</v>
      </c>
      <c r="T21" s="20">
        <f>[1]Input_EUL_CRC_ERC!$B$17-(IF(Table1[[#This Row],[Year Last_Rehab_WL ]]=0,Table1[[#This Row],[Year Installed_WL]],[1]Input_EUL_CRC_ERC!$B$17-Table1[[#This Row],[Year Last_Rehab_WL ]]))</f>
        <v>2</v>
      </c>
      <c r="U21" s="20">
        <f>(VLOOKUP(Table1[[#This Row],[Item_Rehab_WL]],[1]Input_EUL_CRC_ERC!$C$17:$E$27,2,FALSE)-Table1[[#This Row],[Last Rehab Age]])</f>
        <v>13</v>
      </c>
      <c r="V21" s="26">
        <f>[1]Input_EUL_CRC_ERC!$B$17-Table1[[#This Row],[Year Installed_HP]]</f>
        <v>2</v>
      </c>
      <c r="W21" s="26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21" s="26">
        <f>[1]Input_EUL_CRC_ERC!$B$17-Table1[[#This Row],[Year Installed_PF]]</f>
        <v>2</v>
      </c>
      <c r="Y21" s="26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21" s="25">
        <f>IF(Table1[[#This Row],[Years_Next_Rehab_Well]]&lt;=0,VLOOKUP(Table1[[#This Row],[Item_Rehab_WL]],[1]!Table2[#All],3,FALSE),0)</f>
        <v>0</v>
      </c>
      <c r="AA21" s="25">
        <f>IF(Table1[[#This Row],[Adjusted_ULife_HP]]&lt;=0,VLOOKUP(Table1[[#This Row],[Item_Handpump]],[1]!Table2[#All],3,FALSE),0)</f>
        <v>0</v>
      </c>
      <c r="AB21" s="25">
        <f>IF(Table1[[#This Row],[Adjusted_ULife_PF]]&lt;=0,VLOOKUP(Table1[[#This Row],[Item_Platform]],[1]!Table2[#All],3,FALSE),0)</f>
        <v>0</v>
      </c>
      <c r="AC21" s="25">
        <f>SUM(Table1[[#This Row],[current yr_wl]:[current yr_pf]])</f>
        <v>0</v>
      </c>
      <c r="AD21" s="25">
        <f>IF(Table1[[#This Row],[Years_Next_Rehab_Well]]=1,VLOOKUP(Table1[[#This Row],[Item_Rehab_WL]],[1]!Table2[#All],4,FALSE),0)</f>
        <v>0</v>
      </c>
      <c r="AE21" s="25">
        <f>IF(Table1[[#This Row],[Adjusted_ULife_HP]]=1,VLOOKUP(Table1[[#This Row],[Item_Handpump]],[1]!Table2[#All],4,FALSE),0)</f>
        <v>0</v>
      </c>
      <c r="AF21" s="25">
        <f>IF(Table1[[#This Row],[Adjusted_ULife_PF]]=1,VLOOKUP(Table1[[#This Row],[Item_Platform]],[1]!Table2[#All],4,FALSE),0)</f>
        <v>0</v>
      </c>
      <c r="AG21" s="25">
        <f>SUM(Table1[[#This Row],[yr 1_wl]:[yr 1_pf]])</f>
        <v>0</v>
      </c>
      <c r="AH21" s="25">
        <f>IF(Table1[[#This Row],[Years_Next_Rehab_Well]]=2,VLOOKUP(Table1[[#This Row],[Item_Rehab_WL]],[1]!Table2[#All],5,FALSE),0)</f>
        <v>0</v>
      </c>
      <c r="AI21" s="25">
        <f>IF(Table1[[#This Row],[Adjusted_ULife_HP]]=2,VLOOKUP(Table1[[#This Row],[Item_Handpump]],[1]!Table2[#All],5,FALSE),0)</f>
        <v>0</v>
      </c>
      <c r="AJ21" s="25">
        <f>IF(Table1[[#This Row],[Adjusted_ULife_PF]]=2,VLOOKUP(Table1[[#This Row],[Item_Platform]],[1]!Table2[#All],5,FALSE),0)</f>
        <v>0</v>
      </c>
      <c r="AK21" s="25">
        <f>SUM(Table1[[#This Row],[yr 2_wl]:[yr 2_pf]])</f>
        <v>0</v>
      </c>
      <c r="AL21" s="25">
        <f>IF(Table1[[#This Row],[Years_Next_Rehab_Well]]=3,VLOOKUP(Table1[[#This Row],[Item_Rehab_WL]],[1]!Table2[#All],6,FALSE),0)</f>
        <v>0</v>
      </c>
      <c r="AM21" s="25">
        <f>IF(Table1[[#This Row],[Adjusted_ULife_HP]]=3,VLOOKUP(Table1[[#This Row],[Item_Handpump]],[1]!Table2[#All],6,FALSE),0)</f>
        <v>0</v>
      </c>
      <c r="AN21" s="25">
        <f>IF(Table1[[#This Row],[Adjusted_ULife_PF]]=3,VLOOKUP(Table1[[#This Row],[Item_Platform]],[1]!Table2[#All],6,FALSE),0)</f>
        <v>0</v>
      </c>
      <c r="AO21" s="25">
        <f>SUM(Table1[[#This Row],[yr 3_wl]:[yr 3_pf]])</f>
        <v>0</v>
      </c>
      <c r="AP21" s="25">
        <f>IF(Table1[[#This Row],[Years_Next_Rehab_Well]]=4,VLOOKUP(Table1[[#This Row],[Item_Rehab_WL]],[1]!Table2[#All],7,FALSE),0)</f>
        <v>0</v>
      </c>
      <c r="AQ21" s="25">
        <f>IF(Table1[[#This Row],[Adjusted_ULife_HP]]=4,VLOOKUP(Table1[[#This Row],[Item_Handpump]],[1]!Table2[#All],7,FALSE),0)</f>
        <v>0</v>
      </c>
      <c r="AR21" s="25">
        <f>IF(Table1[[#This Row],[Adjusted_ULife_PF]]=4,VLOOKUP(Table1[[#This Row],[Item_Platform]],[1]!Table2[#All],7,FALSE),0)</f>
        <v>0</v>
      </c>
      <c r="AS21" s="25">
        <f>SUM(Table1[[#This Row],[yr 4_wl]:[yr 4_pf]])</f>
        <v>0</v>
      </c>
      <c r="AT21" s="25">
        <f>IF(Table1[[#This Row],[Years_Next_Rehab_Well]]=5,VLOOKUP(Table1[[#This Row],[Item_Rehab_WL]],[1]!Table2[#All],8,FALSE),0)</f>
        <v>0</v>
      </c>
      <c r="AU21" s="25">
        <f>IF(Table1[[#This Row],[Adjusted_ULife_HP]]=5,VLOOKUP(Table1[[#This Row],[Item_Handpump]],[1]!Table2[#All],8,FALSE),0)</f>
        <v>0</v>
      </c>
      <c r="AV21" s="25">
        <f>IF(Table1[[#This Row],[Adjusted_ULife_PF]]=5,VLOOKUP(Table1[[#This Row],[Item_Platform]],[1]!Table2[#All],8,FALSE),0)</f>
        <v>0</v>
      </c>
      <c r="AW21" s="25">
        <f>SUM(Table1[[#This Row],[yr 5_wl]:[yr 5_pf]])</f>
        <v>0</v>
      </c>
      <c r="AX21" s="25">
        <f>IF(Table1[[#This Row],[Years_Next_Rehab_Well]]=6,VLOOKUP(Table1[[#This Row],[Item_Rehab_WL]],[1]!Table2[#All],9,FALSE),0)</f>
        <v>0</v>
      </c>
      <c r="AY21" s="25">
        <f>IF(Table1[[#This Row],[Adjusted_ULife_HP]]=6,VLOOKUP(Table1[[#This Row],[Item_Handpump]],[1]!Table2[#All],9,FALSE),0)</f>
        <v>0</v>
      </c>
      <c r="AZ21" s="25">
        <f>IF(Table1[[#This Row],[Adjusted_ULife_PF]]=6,VLOOKUP(Table1[[#This Row],[Item_Platform]],[1]!Table2[#All],9,FALSE),0)</f>
        <v>0</v>
      </c>
      <c r="BA21" s="25">
        <f>SUM(Table1[[#This Row],[yr 6_wl]:[yr 6_pf]])</f>
        <v>0</v>
      </c>
      <c r="BB21" s="25">
        <f>IF(Table1[[#This Row],[Years_Next_Rehab_Well]]=7,VLOOKUP(Table1[[#This Row],[Item_Rehab_WL]],[1]!Table2[#All],10,FALSE),0)</f>
        <v>0</v>
      </c>
      <c r="BC21" s="25">
        <f>IF(Table1[[#This Row],[Adjusted_ULife_HP]]=7,VLOOKUP(Table1[[#This Row],[Item_Handpump]],[1]!Table2[#All],10,FALSE),0)</f>
        <v>0</v>
      </c>
      <c r="BD21" s="25">
        <f>IF(Table1[[#This Row],[Adjusted_ULife_PF]]=7,VLOOKUP(Table1[[#This Row],[Item_Platform]],[1]!Table2[#All],10,FALSE),0)</f>
        <v>0</v>
      </c>
      <c r="BE21" s="25">
        <f>SUM(Table1[[#This Row],[yr 7_wl]:[yr 7_pf]])</f>
        <v>0</v>
      </c>
      <c r="BF21" s="25">
        <f>IF(Table1[[#This Row],[Years_Next_Rehab_Well]]=8,VLOOKUP(Table1[[#This Row],[Item_Rehab_WL]],[1]!Table2[#All],11,FALSE),0)</f>
        <v>0</v>
      </c>
      <c r="BG21" s="25">
        <f>IF(Table1[[#This Row],[Adjusted_ULife_HP]]=8,VLOOKUP(Table1[[#This Row],[Item_Handpump]],[1]!Table2[#All],11,FALSE),0)</f>
        <v>0</v>
      </c>
      <c r="BH21" s="25">
        <f>IF(Table1[[#This Row],[Adjusted_ULife_PF]]=8,VLOOKUP(Table1[[#This Row],[Item_Platform]],[1]!Table2[#All],11,FALSE),0)</f>
        <v>0</v>
      </c>
      <c r="BI21" s="25">
        <f>SUM(Table1[[#This Row],[yr 8_wl]:[yr 8_pf]])</f>
        <v>0</v>
      </c>
      <c r="BJ21" s="25">
        <f>IF(Table1[[#This Row],[Years_Next_Rehab_Well]]=9,VLOOKUP(Table1[[#This Row],[Item_Rehab_WL]],[1]!Table2[#All],12,FALSE),0)</f>
        <v>0</v>
      </c>
      <c r="BK21" s="25">
        <f>IF(Table1[[#This Row],[Adjusted_ULife_HP]]=9,VLOOKUP(Table1[[#This Row],[Item_Handpump]],[1]!Table2[#All],12,FALSE),0)</f>
        <v>0</v>
      </c>
      <c r="BL21" s="25">
        <f>IF(Table1[[#This Row],[Adjusted_ULife_PF]]=9,VLOOKUP(Table1[[#This Row],[Item_Platform]],[1]!Table2[#All],12,FALSE),0)</f>
        <v>0</v>
      </c>
      <c r="BM21" s="25">
        <f>SUM(Table1[[#This Row],[yr 9_wl]:[yr 9_pf]])</f>
        <v>0</v>
      </c>
      <c r="BN21" s="25">
        <f>IF(Table1[[#This Row],[Years_Next_Rehab_Well]]=10,VLOOKUP(Table1[[#This Row],[Item_Rehab_WL]],[1]!Table2[#All],13,FALSE),0)</f>
        <v>0</v>
      </c>
      <c r="BO21" s="25">
        <f>IF(Table1[[#This Row],[Adjusted_ULife_HP]]=10,VLOOKUP(Table1[[#This Row],[Item_Handpump]],[1]!Table2[#All],13,FALSE),0)</f>
        <v>0</v>
      </c>
      <c r="BP21" s="25">
        <f>IF(Table1[[#This Row],[Adjusted_ULife_PF]]=10,VLOOKUP(Table1[[#This Row],[Item_Platform]],[1]!Table2[#All],13,FALSE),0)</f>
        <v>4658.7723125163184</v>
      </c>
      <c r="BQ21" s="25">
        <f>SUM(Table1[[#This Row],[yr 10_wl]:[yr 10_pf]])</f>
        <v>4658.7723125163184</v>
      </c>
      <c r="BR21" s="25">
        <f>IF(Table1[[#This Row],[Years_Next_Rehab_Well]]=11,VLOOKUP(Table1[[#This Row],[Item_Rehab_WL]],[1]!Table2[#All],14,FALSE),0)</f>
        <v>0</v>
      </c>
      <c r="BS21" s="25">
        <f>IF(Table1[[#This Row],[Adjusted_ULife_HP]]=11,VLOOKUP(Table1[[#This Row],[Item_Handpump]],[1]!Table2[#All],14,FALSE),0)</f>
        <v>0</v>
      </c>
      <c r="BT21" s="25">
        <f>IF(Table1[[#This Row],[Adjusted_ULife_PF]]=11,VLOOKUP(Table1[[#This Row],[Item_Platform]],[1]!Table2[#All],14,FALSE),0)</f>
        <v>0</v>
      </c>
      <c r="BU21" s="25">
        <f>SUM(Table1[[#This Row],[yr 11_wl]:[yr 11_pf]])</f>
        <v>0</v>
      </c>
      <c r="BV21" s="25">
        <f>IF(Table1[[#This Row],[Years_Next_Rehab_Well]]=12,VLOOKUP(Table1[[#This Row],[Item_Rehab_WL]],[1]!Table2[#All],15,FALSE),0)</f>
        <v>0</v>
      </c>
      <c r="BW21" s="25">
        <f>IF(Table1[[#This Row],[Adjusted_ULife_HP]]=12,VLOOKUP(Table1[[#This Row],[Item_Handpump]],[1]!Table2[#All],15,FALSE),0)</f>
        <v>0</v>
      </c>
      <c r="BX21" s="25">
        <f>IF(Table1[[#This Row],[Adjusted_ULife_PF]]=12,VLOOKUP(Table1[[#This Row],[Item_Platform]],[1]!Table2[#All],15,FALSE),0)</f>
        <v>0</v>
      </c>
      <c r="BY21" s="25">
        <f>SUM(Table1[[#This Row],[yr 12_wl]:[yr 12_pf]])</f>
        <v>0</v>
      </c>
      <c r="BZ21" s="25">
        <f>IF(Table1[[#This Row],[Years_Next_Rehab_Well]]=13,VLOOKUP(Table1[[#This Row],[Item_Rehab_WL]],[1]!Table2[#All],16,FALSE),0)</f>
        <v>15999.474742726268</v>
      </c>
      <c r="CA21" s="25">
        <f>IF(Table1[[#This Row],[Adjusted_ULife_HP]]=13,VLOOKUP(Table1[[#This Row],[Item_Handpump]],[1]!Table2[#All],16,FALSE),0)</f>
        <v>0</v>
      </c>
      <c r="CB21" s="25">
        <f>IF(Table1[[#This Row],[Adjusted_ULife_PF]]=13,VLOOKUP(Table1[[#This Row],[Item_Platform]],[1]!Table2[#All],16,FALSE),0)</f>
        <v>0</v>
      </c>
      <c r="CC21" s="25">
        <f>SUM(Table1[[#This Row],[yr 13_wl]:[yr 13_pf]])</f>
        <v>15999.474742726268</v>
      </c>
      <c r="CD21" s="12"/>
    </row>
    <row r="22" spans="1:82" s="11" customFormat="1" x14ac:dyDescent="0.25">
      <c r="A22" s="11" t="str">
        <f>IF([1]Input_monitoring_data!A18="","",[1]Input_monitoring_data!A18)</f>
        <v>357t-bw2y-122g</v>
      </c>
      <c r="B22" s="22" t="str">
        <f>[1]Input_monitoring_data!BH18</f>
        <v>Goamu</v>
      </c>
      <c r="C22" s="22" t="str">
        <f>[1]Input_monitoring_data!BI18</f>
        <v>Amangoase</v>
      </c>
      <c r="D22" s="22" t="str">
        <f>[1]Input_monitoring_data!P18</f>
        <v>7.068763284217903</v>
      </c>
      <c r="E22" s="22" t="str">
        <f>[1]Input_monitoring_data!Q18</f>
        <v>-2.4461095987739743</v>
      </c>
      <c r="F22" s="22" t="str">
        <f>[1]Input_monitoring_data!V18</f>
        <v>Near Nana Osei Bonsu's House</v>
      </c>
      <c r="G22" s="23" t="str">
        <f>[1]Input_monitoring_data!U18</f>
        <v>Borehole</v>
      </c>
      <c r="H22" s="22">
        <f>[1]Input_monitoring_data!X18</f>
        <v>2012</v>
      </c>
      <c r="I22" s="21" t="str">
        <f>[1]Input_monitoring_data!AB18</f>
        <v>Borehole redevelopment</v>
      </c>
      <c r="J22" s="21">
        <f>[1]Input_monitoring_data!AC18</f>
        <v>0</v>
      </c>
      <c r="K22" s="23" t="str">
        <f>[1]Input_monitoring_data!W18</f>
        <v>Solar Pump</v>
      </c>
      <c r="L22" s="22">
        <f>[1]Input_monitoring_data!X18</f>
        <v>2012</v>
      </c>
      <c r="M22" s="21">
        <f>IF([1]Input_monitoring_data!BL18&gt;'Point Sources_Asset_Register_'!L22,[1]Input_monitoring_data!BL18,"")</f>
        <v>2017</v>
      </c>
      <c r="N22" s="22" t="str">
        <f>[1]Input_monitoring_data!BQ18</f>
        <v>functional</v>
      </c>
      <c r="O22" s="22">
        <f>[1]Input_monitoring_data!AJ18</f>
        <v>0</v>
      </c>
      <c r="P22" s="23" t="s">
        <v>0</v>
      </c>
      <c r="Q22" s="22">
        <f>L22</f>
        <v>2012</v>
      </c>
      <c r="R22" s="21">
        <f>M22</f>
        <v>2017</v>
      </c>
      <c r="S22" s="20">
        <f>[1]Input_EUL_CRC_ERC!$B$17-Table1[[#This Row],[Year Installed_WL]]</f>
        <v>5</v>
      </c>
      <c r="T22" s="20">
        <f>[1]Input_EUL_CRC_ERC!$B$17-(IF(Table1[[#This Row],[Year Last_Rehab_WL ]]=0,Table1[[#This Row],[Year Installed_WL]],[1]Input_EUL_CRC_ERC!$B$17-Table1[[#This Row],[Year Last_Rehab_WL ]]))</f>
        <v>5</v>
      </c>
      <c r="U22" s="20">
        <f>(VLOOKUP(Table1[[#This Row],[Item_Rehab_WL]],[1]Input_EUL_CRC_ERC!$C$17:$E$27,2,FALSE)-Table1[[#This Row],[Last Rehab Age]])</f>
        <v>10</v>
      </c>
      <c r="V22" s="19">
        <f>[1]Input_EUL_CRC_ERC!$B$17-Table1[[#This Row],[Year Installed_HP]]</f>
        <v>5</v>
      </c>
      <c r="W22" s="19">
        <f>(VLOOKUP(Table1[[#This Row],[Item_Handpump]],[1]!Table2[#All],2,FALSE))-(IF(Table1[[#This Row],[Year Last_Rehab_HP]]="",Table1[[#This Row],[Current Age_Handpump]],[1]Input_EUL_CRC_ERC!$B$17-Table1[[#This Row],[Year Last_Rehab_HP]]))</f>
        <v>10</v>
      </c>
      <c r="X22" s="19">
        <f>[1]Input_EUL_CRC_ERC!$B$17-Table1[[#This Row],[Year Installed_PF]]</f>
        <v>5</v>
      </c>
      <c r="Y22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22" s="25">
        <f>IF(Table1[[#This Row],[Years_Next_Rehab_Well]]&lt;=0,VLOOKUP(Table1[[#This Row],[Item_Rehab_WL]],[1]!Table2[#All],3,FALSE),0)</f>
        <v>0</v>
      </c>
      <c r="AA22" s="18">
        <f>IF(Table1[[#This Row],[Adjusted_ULife_HP]]&lt;=0,VLOOKUP(Table1[[#This Row],[Item_Handpump]],[1]!Table2[#All],3,FALSE),0)</f>
        <v>0</v>
      </c>
      <c r="AB22" s="18">
        <f>IF(Table1[[#This Row],[Adjusted_ULife_PF]]&lt;=0,VLOOKUP(Table1[[#This Row],[Item_Platform]],[1]!Table2[#All],3,FALSE),0)</f>
        <v>0</v>
      </c>
      <c r="AC22" s="18">
        <f>SUM(Table1[[#This Row],[current yr_wl]:[current yr_pf]])</f>
        <v>0</v>
      </c>
      <c r="AD22" s="25">
        <f>IF(Table1[[#This Row],[Years_Next_Rehab_Well]]=1,VLOOKUP(Table1[[#This Row],[Item_Rehab_WL]],[1]!Table2[#All],4,FALSE),0)</f>
        <v>0</v>
      </c>
      <c r="AE22" s="25">
        <f>IF(Table1[[#This Row],[Adjusted_ULife_HP]]=1,VLOOKUP(Table1[[#This Row],[Item_Handpump]],[1]!Table2[#All],4,FALSE),0)</f>
        <v>0</v>
      </c>
      <c r="AF22" s="25">
        <f>IF(Table1[[#This Row],[Adjusted_ULife_PF]]=1,VLOOKUP(Table1[[#This Row],[Item_Platform]],[1]!Table2[#All],4,FALSE),0)</f>
        <v>0</v>
      </c>
      <c r="AG22" s="25">
        <f>SUM(Table1[[#This Row],[yr 1_wl]:[yr 1_pf]])</f>
        <v>0</v>
      </c>
      <c r="AH22" s="25">
        <f>IF(Table1[[#This Row],[Years_Next_Rehab_Well]]=2,VLOOKUP(Table1[[#This Row],[Item_Rehab_WL]],[1]!Table2[#All],5,FALSE),0)</f>
        <v>0</v>
      </c>
      <c r="AI22" s="25">
        <f>IF(Table1[[#This Row],[Adjusted_ULife_HP]]=2,VLOOKUP(Table1[[#This Row],[Item_Handpump]],[1]!Table2[#All],5,FALSE),0)</f>
        <v>0</v>
      </c>
      <c r="AJ22" s="25">
        <f>IF(Table1[[#This Row],[Adjusted_ULife_PF]]=2,VLOOKUP(Table1[[#This Row],[Item_Platform]],[1]!Table2[#All],5,FALSE),0)</f>
        <v>0</v>
      </c>
      <c r="AK22" s="25">
        <f>SUM(Table1[[#This Row],[yr 2_wl]:[yr 2_pf]])</f>
        <v>0</v>
      </c>
      <c r="AL22" s="25">
        <f>IF(Table1[[#This Row],[Years_Next_Rehab_Well]]=3,VLOOKUP(Table1[[#This Row],[Item_Rehab_WL]],[1]!Table2[#All],6,FALSE),0)</f>
        <v>0</v>
      </c>
      <c r="AM22" s="25">
        <f>IF(Table1[[#This Row],[Adjusted_ULife_HP]]=3,VLOOKUP(Table1[[#This Row],[Item_Handpump]],[1]!Table2[#All],6,FALSE),0)</f>
        <v>0</v>
      </c>
      <c r="AN22" s="25">
        <f>IF(Table1[[#This Row],[Adjusted_ULife_PF]]=3,VLOOKUP(Table1[[#This Row],[Item_Platform]],[1]!Table2[#All],6,FALSE),0)</f>
        <v>0</v>
      </c>
      <c r="AO22" s="25">
        <f>SUM(Table1[[#This Row],[yr 3_wl]:[yr 3_pf]])</f>
        <v>0</v>
      </c>
      <c r="AP22" s="25">
        <f>IF(Table1[[#This Row],[Years_Next_Rehab_Well]]=4,VLOOKUP(Table1[[#This Row],[Item_Rehab_WL]],[1]!Table2[#All],7,FALSE),0)</f>
        <v>0</v>
      </c>
      <c r="AQ22" s="25">
        <f>IF(Table1[[#This Row],[Adjusted_ULife_HP]]=4,VLOOKUP(Table1[[#This Row],[Item_Handpump]],[1]!Table2[#All],7,FALSE),0)</f>
        <v>0</v>
      </c>
      <c r="AR22" s="25">
        <f>IF(Table1[[#This Row],[Adjusted_ULife_PF]]=4,VLOOKUP(Table1[[#This Row],[Item_Platform]],[1]!Table2[#All],7,FALSE),0)</f>
        <v>0</v>
      </c>
      <c r="AS22" s="25">
        <f>SUM(Table1[[#This Row],[yr 4_wl]:[yr 4_pf]])</f>
        <v>0</v>
      </c>
      <c r="AT22" s="25">
        <f>IF(Table1[[#This Row],[Years_Next_Rehab_Well]]=5,VLOOKUP(Table1[[#This Row],[Item_Rehab_WL]],[1]!Table2[#All],8,FALSE),0)</f>
        <v>0</v>
      </c>
      <c r="AU22" s="25">
        <f>IF(Table1[[#This Row],[Adjusted_ULife_HP]]=5,VLOOKUP(Table1[[#This Row],[Item_Handpump]],[1]!Table2[#All],8,FALSE),0)</f>
        <v>0</v>
      </c>
      <c r="AV22" s="25">
        <f>IF(Table1[[#This Row],[Adjusted_ULife_PF]]=5,VLOOKUP(Table1[[#This Row],[Item_Platform]],[1]!Table2[#All],8,FALSE),0)</f>
        <v>0</v>
      </c>
      <c r="AW22" s="25">
        <f>SUM(Table1[[#This Row],[yr 5_wl]:[yr 5_pf]])</f>
        <v>0</v>
      </c>
      <c r="AX22" s="25">
        <f>IF(Table1[[#This Row],[Years_Next_Rehab_Well]]=6,VLOOKUP(Table1[[#This Row],[Item_Rehab_WL]],[1]!Table2[#All],9,FALSE),0)</f>
        <v>0</v>
      </c>
      <c r="AY22" s="25">
        <f>IF(Table1[[#This Row],[Adjusted_ULife_HP]]=6,VLOOKUP(Table1[[#This Row],[Item_Handpump]],[1]!Table2[#All],9,FALSE),0)</f>
        <v>0</v>
      </c>
      <c r="AZ22" s="25">
        <f>IF(Table1[[#This Row],[Adjusted_ULife_PF]]=6,VLOOKUP(Table1[[#This Row],[Item_Platform]],[1]!Table2[#All],9,FALSE),0)</f>
        <v>0</v>
      </c>
      <c r="BA22" s="25">
        <f>SUM(Table1[[#This Row],[yr 6_wl]:[yr 6_pf]])</f>
        <v>0</v>
      </c>
      <c r="BB22" s="25">
        <f>IF(Table1[[#This Row],[Years_Next_Rehab_Well]]=7,VLOOKUP(Table1[[#This Row],[Item_Rehab_WL]],[1]!Table2[#All],10,FALSE),0)</f>
        <v>0</v>
      </c>
      <c r="BC22" s="25">
        <f>IF(Table1[[#This Row],[Adjusted_ULife_HP]]=7,VLOOKUP(Table1[[#This Row],[Item_Handpump]],[1]!Table2[#All],10,FALSE),0)</f>
        <v>0</v>
      </c>
      <c r="BD22" s="25">
        <f>IF(Table1[[#This Row],[Adjusted_ULife_PF]]=7,VLOOKUP(Table1[[#This Row],[Item_Platform]],[1]!Table2[#All],10,FALSE),0)</f>
        <v>0</v>
      </c>
      <c r="BE22" s="25">
        <f>SUM(Table1[[#This Row],[yr 7_wl]:[yr 7_pf]])</f>
        <v>0</v>
      </c>
      <c r="BF22" s="25">
        <f>IF(Table1[[#This Row],[Years_Next_Rehab_Well]]=8,VLOOKUP(Table1[[#This Row],[Item_Rehab_WL]],[1]!Table2[#All],11,FALSE),0)</f>
        <v>0</v>
      </c>
      <c r="BG22" s="25">
        <f>IF(Table1[[#This Row],[Adjusted_ULife_HP]]=8,VLOOKUP(Table1[[#This Row],[Item_Handpump]],[1]!Table2[#All],11,FALSE),0)</f>
        <v>0</v>
      </c>
      <c r="BH22" s="25">
        <f>IF(Table1[[#This Row],[Adjusted_ULife_PF]]=8,VLOOKUP(Table1[[#This Row],[Item_Platform]],[1]!Table2[#All],11,FALSE),0)</f>
        <v>0</v>
      </c>
      <c r="BI22" s="25">
        <f>SUM(Table1[[#This Row],[yr 8_wl]:[yr 8_pf]])</f>
        <v>0</v>
      </c>
      <c r="BJ22" s="25">
        <f>IF(Table1[[#This Row],[Years_Next_Rehab_Well]]=9,VLOOKUP(Table1[[#This Row],[Item_Rehab_WL]],[1]!Table2[#All],12,FALSE),0)</f>
        <v>0</v>
      </c>
      <c r="BK22" s="25">
        <f>IF(Table1[[#This Row],[Adjusted_ULife_HP]]=9,VLOOKUP(Table1[[#This Row],[Item_Handpump]],[1]!Table2[#All],12,FALSE),0)</f>
        <v>0</v>
      </c>
      <c r="BL22" s="25">
        <f>IF(Table1[[#This Row],[Adjusted_ULife_PF]]=9,VLOOKUP(Table1[[#This Row],[Item_Platform]],[1]!Table2[#All],12,FALSE),0)</f>
        <v>0</v>
      </c>
      <c r="BM22" s="25">
        <f>SUM(Table1[[#This Row],[yr 9_wl]:[yr 9_pf]])</f>
        <v>0</v>
      </c>
      <c r="BN22" s="25">
        <f>IF(Table1[[#This Row],[Years_Next_Rehab_Well]]=10,VLOOKUP(Table1[[#This Row],[Item_Rehab_WL]],[1]!Table2[#All],13,FALSE),0)</f>
        <v>11388.110097262112</v>
      </c>
      <c r="BO22" s="25">
        <f>IF(Table1[[#This Row],[Adjusted_ULife_HP]]=10,VLOOKUP(Table1[[#This Row],[Item_Handpump]],[1]!Table2[#All],13,FALSE),0)</f>
        <v>1242.3392833376847</v>
      </c>
      <c r="BP22" s="25">
        <f>IF(Table1[[#This Row],[Adjusted_ULife_PF]]=10,VLOOKUP(Table1[[#This Row],[Item_Platform]],[1]!Table2[#All],13,FALSE),0)</f>
        <v>4658.7723125163184</v>
      </c>
      <c r="BQ22" s="25">
        <f>SUM(Table1[[#This Row],[yr 10_wl]:[yr 10_pf]])</f>
        <v>17289.221693116113</v>
      </c>
      <c r="BR22" s="25">
        <f>IF(Table1[[#This Row],[Years_Next_Rehab_Well]]=11,VLOOKUP(Table1[[#This Row],[Item_Rehab_WL]],[1]!Table2[#All],14,FALSE),0)</f>
        <v>0</v>
      </c>
      <c r="BS22" s="25">
        <f>IF(Table1[[#This Row],[Adjusted_ULife_HP]]=11,VLOOKUP(Table1[[#This Row],[Item_Handpump]],[1]!Table2[#All],14,FALSE),0)</f>
        <v>0</v>
      </c>
      <c r="BT22" s="25">
        <f>IF(Table1[[#This Row],[Adjusted_ULife_PF]]=11,VLOOKUP(Table1[[#This Row],[Item_Platform]],[1]!Table2[#All],14,FALSE),0)</f>
        <v>0</v>
      </c>
      <c r="BU22" s="25">
        <f>SUM(Table1[[#This Row],[yr 11_wl]:[yr 11_pf]])</f>
        <v>0</v>
      </c>
      <c r="BV22" s="25">
        <f>IF(Table1[[#This Row],[Years_Next_Rehab_Well]]=12,VLOOKUP(Table1[[#This Row],[Item_Rehab_WL]],[1]!Table2[#All],15,FALSE),0)</f>
        <v>0</v>
      </c>
      <c r="BW22" s="25">
        <f>IF(Table1[[#This Row],[Adjusted_ULife_HP]]=12,VLOOKUP(Table1[[#This Row],[Item_Handpump]],[1]!Table2[#All],15,FALSE),0)</f>
        <v>0</v>
      </c>
      <c r="BX22" s="25">
        <f>IF(Table1[[#This Row],[Adjusted_ULife_PF]]=12,VLOOKUP(Table1[[#This Row],[Item_Platform]],[1]!Table2[#All],15,FALSE),0)</f>
        <v>0</v>
      </c>
      <c r="BY22" s="25">
        <f>SUM(Table1[[#This Row],[yr 12_wl]:[yr 12_pf]])</f>
        <v>0</v>
      </c>
      <c r="BZ22" s="25">
        <f>IF(Table1[[#This Row],[Years_Next_Rehab_Well]]=13,VLOOKUP(Table1[[#This Row],[Item_Rehab_WL]],[1]!Table2[#All],16,FALSE),0)</f>
        <v>0</v>
      </c>
      <c r="CA22" s="25">
        <f>IF(Table1[[#This Row],[Adjusted_ULife_HP]]=13,VLOOKUP(Table1[[#This Row],[Item_Handpump]],[1]!Table2[#All],16,FALSE),0)</f>
        <v>0</v>
      </c>
      <c r="CB22" s="25">
        <f>IF(Table1[[#This Row],[Adjusted_ULife_PF]]=13,VLOOKUP(Table1[[#This Row],[Item_Platform]],[1]!Table2[#All],16,FALSE),0)</f>
        <v>0</v>
      </c>
      <c r="CC22" s="25">
        <f>SUM(Table1[[#This Row],[yr 13_wl]:[yr 13_pf]])</f>
        <v>0</v>
      </c>
      <c r="CD22" s="12"/>
    </row>
    <row r="23" spans="1:82" s="11" customFormat="1" x14ac:dyDescent="0.25">
      <c r="A23" s="11" t="str">
        <f>IF([1]Input_monitoring_data!A19="","",[1]Input_monitoring_data!A19)</f>
        <v>35aj-7bu8-x2d0</v>
      </c>
      <c r="B23" s="22" t="str">
        <f>[1]Input_monitoring_data!BH19</f>
        <v>Goamu</v>
      </c>
      <c r="C23" s="22" t="str">
        <f>[1]Input_monitoring_data!BI19</f>
        <v>Akosakrom</v>
      </c>
      <c r="D23" s="22" t="str">
        <f>[1]Input_monitoring_data!P19</f>
        <v>7.012450813324318</v>
      </c>
      <c r="E23" s="22" t="str">
        <f>[1]Input_monitoring_data!Q19</f>
        <v>-2.45494432583494</v>
      </c>
      <c r="F23" s="22" t="str">
        <f>[1]Input_monitoring_data!V19</f>
        <v>Behind The Chief's Palace</v>
      </c>
      <c r="G23" s="23" t="str">
        <f>[1]Input_monitoring_data!U19</f>
        <v>Borehole</v>
      </c>
      <c r="H23" s="22">
        <f>[1]Input_monitoring_data!X19</f>
        <v>2001</v>
      </c>
      <c r="I23" s="21" t="str">
        <f>[1]Input_monitoring_data!AB19</f>
        <v>Borehole redevelopment</v>
      </c>
      <c r="J23" s="21">
        <f>[1]Input_monitoring_data!AC19</f>
        <v>0</v>
      </c>
      <c r="K23" s="23" t="str">
        <f>[1]Input_monitoring_data!W19</f>
        <v>AfriDev</v>
      </c>
      <c r="L23" s="22">
        <f>[1]Input_monitoring_data!X19</f>
        <v>2001</v>
      </c>
      <c r="M23" s="21">
        <f>IF([1]Input_monitoring_data!BL19&gt;'Point Sources_Asset_Register_'!L23,[1]Input_monitoring_data!BL19,"")</f>
        <v>2016</v>
      </c>
      <c r="N23" s="22" t="str">
        <f>[1]Input_monitoring_data!BQ19</f>
        <v>functional</v>
      </c>
      <c r="O23" s="22" t="str">
        <f>[1]Input_monitoring_data!AJ19</f>
        <v>Handpump broken</v>
      </c>
      <c r="P23" s="23" t="s">
        <v>0</v>
      </c>
      <c r="Q23" s="22">
        <f>L23</f>
        <v>2001</v>
      </c>
      <c r="R23" s="21">
        <f>M23</f>
        <v>2016</v>
      </c>
      <c r="S23" s="20">
        <f>[1]Input_EUL_CRC_ERC!$B$17-Table1[[#This Row],[Year Installed_WL]]</f>
        <v>16</v>
      </c>
      <c r="T23" s="20">
        <f>[1]Input_EUL_CRC_ERC!$B$17-(IF(Table1[[#This Row],[Year Last_Rehab_WL ]]=0,Table1[[#This Row],[Year Installed_WL]],[1]Input_EUL_CRC_ERC!$B$17-Table1[[#This Row],[Year Last_Rehab_WL ]]))</f>
        <v>16</v>
      </c>
      <c r="U23" s="20">
        <f>(VLOOKUP(Table1[[#This Row],[Item_Rehab_WL]],[1]Input_EUL_CRC_ERC!$C$17:$E$27,2,FALSE)-Table1[[#This Row],[Last Rehab Age]])</f>
        <v>-1</v>
      </c>
      <c r="V23" s="19">
        <f>[1]Input_EUL_CRC_ERC!$B$17-Table1[[#This Row],[Year Installed_HP]]</f>
        <v>16</v>
      </c>
      <c r="W23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23" s="19">
        <f>[1]Input_EUL_CRC_ERC!$B$17-Table1[[#This Row],[Year Installed_PF]]</f>
        <v>16</v>
      </c>
      <c r="Y23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23" s="25">
        <f>IF(Table1[[#This Row],[Years_Next_Rehab_Well]]&lt;=0,VLOOKUP(Table1[[#This Row],[Item_Rehab_WL]],[1]!Table2[#All],3,FALSE),0)</f>
        <v>3666.6666666666665</v>
      </c>
      <c r="AA23" s="18">
        <f>IF(Table1[[#This Row],[Adjusted_ULife_HP]]&lt;=0,VLOOKUP(Table1[[#This Row],[Item_Handpump]],[1]!Table2[#All],3,FALSE),0)</f>
        <v>0</v>
      </c>
      <c r="AB23" s="18">
        <f>IF(Table1[[#This Row],[Adjusted_ULife_PF]]&lt;=0,VLOOKUP(Table1[[#This Row],[Item_Platform]],[1]!Table2[#All],3,FALSE),0)</f>
        <v>0</v>
      </c>
      <c r="AC23" s="18">
        <f>SUM(Table1[[#This Row],[current yr_wl]:[current yr_pf]])</f>
        <v>3666.6666666666665</v>
      </c>
      <c r="AD23" s="25">
        <f>IF(Table1[[#This Row],[Years_Next_Rehab_Well]]=1,VLOOKUP(Table1[[#This Row],[Item_Rehab_WL]],[1]!Table2[#All],4,FALSE),0)</f>
        <v>0</v>
      </c>
      <c r="AE23" s="25">
        <f>IF(Table1[[#This Row],[Adjusted_ULife_HP]]=1,VLOOKUP(Table1[[#This Row],[Item_Handpump]],[1]!Table2[#All],4,FALSE),0)</f>
        <v>0</v>
      </c>
      <c r="AF23" s="25">
        <f>IF(Table1[[#This Row],[Adjusted_ULife_PF]]=1,VLOOKUP(Table1[[#This Row],[Item_Platform]],[1]!Table2[#All],4,FALSE),0)</f>
        <v>0</v>
      </c>
      <c r="AG23" s="25">
        <f>SUM(Table1[[#This Row],[yr 1_wl]:[yr 1_pf]])</f>
        <v>0</v>
      </c>
      <c r="AH23" s="25">
        <f>IF(Table1[[#This Row],[Years_Next_Rehab_Well]]=2,VLOOKUP(Table1[[#This Row],[Item_Rehab_WL]],[1]!Table2[#All],5,FALSE),0)</f>
        <v>0</v>
      </c>
      <c r="AI23" s="25">
        <f>IF(Table1[[#This Row],[Adjusted_ULife_HP]]=2,VLOOKUP(Table1[[#This Row],[Item_Handpump]],[1]!Table2[#All],5,FALSE),0)</f>
        <v>0</v>
      </c>
      <c r="AJ23" s="25">
        <f>IF(Table1[[#This Row],[Adjusted_ULife_PF]]=2,VLOOKUP(Table1[[#This Row],[Item_Platform]],[1]!Table2[#All],5,FALSE),0)</f>
        <v>0</v>
      </c>
      <c r="AK23" s="25">
        <f>SUM(Table1[[#This Row],[yr 2_wl]:[yr 2_pf]])</f>
        <v>0</v>
      </c>
      <c r="AL23" s="25">
        <f>IF(Table1[[#This Row],[Years_Next_Rehab_Well]]=3,VLOOKUP(Table1[[#This Row],[Item_Rehab_WL]],[1]!Table2[#All],6,FALSE),0)</f>
        <v>0</v>
      </c>
      <c r="AM23" s="25">
        <f>IF(Table1[[#This Row],[Adjusted_ULife_HP]]=3,VLOOKUP(Table1[[#This Row],[Item_Handpump]],[1]!Table2[#All],6,FALSE),0)</f>
        <v>0</v>
      </c>
      <c r="AN23" s="25">
        <f>IF(Table1[[#This Row],[Adjusted_ULife_PF]]=3,VLOOKUP(Table1[[#This Row],[Item_Platform]],[1]!Table2[#All],6,FALSE),0)</f>
        <v>0</v>
      </c>
      <c r="AO23" s="25">
        <f>SUM(Table1[[#This Row],[yr 3_wl]:[yr 3_pf]])</f>
        <v>0</v>
      </c>
      <c r="AP23" s="25">
        <f>IF(Table1[[#This Row],[Years_Next_Rehab_Well]]=4,VLOOKUP(Table1[[#This Row],[Item_Rehab_WL]],[1]!Table2[#All],7,FALSE),0)</f>
        <v>0</v>
      </c>
      <c r="AQ23" s="25">
        <f>IF(Table1[[#This Row],[Adjusted_ULife_HP]]=4,VLOOKUP(Table1[[#This Row],[Item_Handpump]],[1]!Table2[#All],7,FALSE),0)</f>
        <v>0</v>
      </c>
      <c r="AR23" s="25">
        <f>IF(Table1[[#This Row],[Adjusted_ULife_PF]]=4,VLOOKUP(Table1[[#This Row],[Item_Platform]],[1]!Table2[#All],7,FALSE),0)</f>
        <v>0</v>
      </c>
      <c r="AS23" s="25">
        <f>SUM(Table1[[#This Row],[yr 4_wl]:[yr 4_pf]])</f>
        <v>0</v>
      </c>
      <c r="AT23" s="25">
        <f>IF(Table1[[#This Row],[Years_Next_Rehab_Well]]=5,VLOOKUP(Table1[[#This Row],[Item_Rehab_WL]],[1]!Table2[#All],8,FALSE),0)</f>
        <v>0</v>
      </c>
      <c r="AU23" s="25">
        <f>IF(Table1[[#This Row],[Adjusted_ULife_HP]]=5,VLOOKUP(Table1[[#This Row],[Item_Handpump]],[1]!Table2[#All],8,FALSE),0)</f>
        <v>0</v>
      </c>
      <c r="AV23" s="25">
        <f>IF(Table1[[#This Row],[Adjusted_ULife_PF]]=5,VLOOKUP(Table1[[#This Row],[Item_Platform]],[1]!Table2[#All],8,FALSE),0)</f>
        <v>0</v>
      </c>
      <c r="AW23" s="25">
        <f>SUM(Table1[[#This Row],[yr 5_wl]:[yr 5_pf]])</f>
        <v>0</v>
      </c>
      <c r="AX23" s="25">
        <f>IF(Table1[[#This Row],[Years_Next_Rehab_Well]]=6,VLOOKUP(Table1[[#This Row],[Item_Rehab_WL]],[1]!Table2[#All],9,FALSE),0)</f>
        <v>0</v>
      </c>
      <c r="AY23" s="25">
        <f>IF(Table1[[#This Row],[Adjusted_ULife_HP]]=6,VLOOKUP(Table1[[#This Row],[Item_Handpump]],[1]!Table2[#All],9,FALSE),0)</f>
        <v>0</v>
      </c>
      <c r="AZ23" s="25">
        <f>IF(Table1[[#This Row],[Adjusted_ULife_PF]]=6,VLOOKUP(Table1[[#This Row],[Item_Platform]],[1]!Table2[#All],9,FALSE),0)</f>
        <v>0</v>
      </c>
      <c r="BA23" s="25">
        <f>SUM(Table1[[#This Row],[yr 6_wl]:[yr 6_pf]])</f>
        <v>0</v>
      </c>
      <c r="BB23" s="25">
        <f>IF(Table1[[#This Row],[Years_Next_Rehab_Well]]=7,VLOOKUP(Table1[[#This Row],[Item_Rehab_WL]],[1]!Table2[#All],10,FALSE),0)</f>
        <v>0</v>
      </c>
      <c r="BC23" s="25">
        <f>IF(Table1[[#This Row],[Adjusted_ULife_HP]]=7,VLOOKUP(Table1[[#This Row],[Item_Handpump]],[1]!Table2[#All],10,FALSE),0)</f>
        <v>0</v>
      </c>
      <c r="BD23" s="25">
        <f>IF(Table1[[#This Row],[Adjusted_ULife_PF]]=7,VLOOKUP(Table1[[#This Row],[Item_Platform]],[1]!Table2[#All],10,FALSE),0)</f>
        <v>0</v>
      </c>
      <c r="BE23" s="25">
        <f>SUM(Table1[[#This Row],[yr 7_wl]:[yr 7_pf]])</f>
        <v>0</v>
      </c>
      <c r="BF23" s="25">
        <f>IF(Table1[[#This Row],[Years_Next_Rehab_Well]]=8,VLOOKUP(Table1[[#This Row],[Item_Rehab_WL]],[1]!Table2[#All],11,FALSE),0)</f>
        <v>0</v>
      </c>
      <c r="BG23" s="25">
        <f>IF(Table1[[#This Row],[Adjusted_ULife_HP]]=8,VLOOKUP(Table1[[#This Row],[Item_Handpump]],[1]!Table2[#All],11,FALSE),0)</f>
        <v>0</v>
      </c>
      <c r="BH23" s="25">
        <f>IF(Table1[[#This Row],[Adjusted_ULife_PF]]=8,VLOOKUP(Table1[[#This Row],[Item_Platform]],[1]!Table2[#All],11,FALSE),0)</f>
        <v>0</v>
      </c>
      <c r="BI23" s="25">
        <f>SUM(Table1[[#This Row],[yr 8_wl]:[yr 8_pf]])</f>
        <v>0</v>
      </c>
      <c r="BJ23" s="25">
        <f>IF(Table1[[#This Row],[Years_Next_Rehab_Well]]=9,VLOOKUP(Table1[[#This Row],[Item_Rehab_WL]],[1]!Table2[#All],12,FALSE),0)</f>
        <v>0</v>
      </c>
      <c r="BK23" s="25">
        <f>IF(Table1[[#This Row],[Adjusted_ULife_HP]]=9,VLOOKUP(Table1[[#This Row],[Item_Handpump]],[1]!Table2[#All],12,FALSE),0)</f>
        <v>0</v>
      </c>
      <c r="BL23" s="25">
        <f>IF(Table1[[#This Row],[Adjusted_ULife_PF]]=9,VLOOKUP(Table1[[#This Row],[Item_Platform]],[1]!Table2[#All],12,FALSE),0)</f>
        <v>4159.6181361752842</v>
      </c>
      <c r="BM23" s="25">
        <f>SUM(Table1[[#This Row],[yr 9_wl]:[yr 9_pf]])</f>
        <v>4159.6181361752842</v>
      </c>
      <c r="BN23" s="25">
        <f>IF(Table1[[#This Row],[Years_Next_Rehab_Well]]=10,VLOOKUP(Table1[[#This Row],[Item_Rehab_WL]],[1]!Table2[#All],13,FALSE),0)</f>
        <v>0</v>
      </c>
      <c r="BO23" s="25">
        <f>IF(Table1[[#This Row],[Adjusted_ULife_HP]]=10,VLOOKUP(Table1[[#This Row],[Item_Handpump]],[1]!Table2[#All],13,FALSE),0)</f>
        <v>0</v>
      </c>
      <c r="BP23" s="25">
        <f>IF(Table1[[#This Row],[Adjusted_ULife_PF]]=10,VLOOKUP(Table1[[#This Row],[Item_Platform]],[1]!Table2[#All],13,FALSE),0)</f>
        <v>0</v>
      </c>
      <c r="BQ23" s="25">
        <f>SUM(Table1[[#This Row],[yr 10_wl]:[yr 10_pf]])</f>
        <v>0</v>
      </c>
      <c r="BR23" s="25">
        <f>IF(Table1[[#This Row],[Years_Next_Rehab_Well]]=11,VLOOKUP(Table1[[#This Row],[Item_Rehab_WL]],[1]!Table2[#All],14,FALSE),0)</f>
        <v>0</v>
      </c>
      <c r="BS23" s="25">
        <f>IF(Table1[[#This Row],[Adjusted_ULife_HP]]=11,VLOOKUP(Table1[[#This Row],[Item_Handpump]],[1]!Table2[#All],14,FALSE),0)</f>
        <v>0</v>
      </c>
      <c r="BT23" s="25">
        <f>IF(Table1[[#This Row],[Adjusted_ULife_PF]]=11,VLOOKUP(Table1[[#This Row],[Item_Platform]],[1]!Table2[#All],14,FALSE),0)</f>
        <v>0</v>
      </c>
      <c r="BU23" s="25">
        <f>SUM(Table1[[#This Row],[yr 11_wl]:[yr 11_pf]])</f>
        <v>0</v>
      </c>
      <c r="BV23" s="25">
        <f>IF(Table1[[#This Row],[Years_Next_Rehab_Well]]=12,VLOOKUP(Table1[[#This Row],[Item_Rehab_WL]],[1]!Table2[#All],15,FALSE),0)</f>
        <v>0</v>
      </c>
      <c r="BW23" s="25">
        <f>IF(Table1[[#This Row],[Adjusted_ULife_HP]]=12,VLOOKUP(Table1[[#This Row],[Item_Handpump]],[1]!Table2[#All],15,FALSE),0)</f>
        <v>0</v>
      </c>
      <c r="BX23" s="25">
        <f>IF(Table1[[#This Row],[Adjusted_ULife_PF]]=12,VLOOKUP(Table1[[#This Row],[Item_Platform]],[1]!Table2[#All],15,FALSE),0)</f>
        <v>0</v>
      </c>
      <c r="BY23" s="25">
        <f>SUM(Table1[[#This Row],[yr 12_wl]:[yr 12_pf]])</f>
        <v>0</v>
      </c>
      <c r="BZ23" s="25">
        <f>IF(Table1[[#This Row],[Years_Next_Rehab_Well]]=13,VLOOKUP(Table1[[#This Row],[Item_Rehab_WL]],[1]!Table2[#All],16,FALSE),0)</f>
        <v>0</v>
      </c>
      <c r="CA23" s="25">
        <f>IF(Table1[[#This Row],[Adjusted_ULife_HP]]=13,VLOOKUP(Table1[[#This Row],[Item_Handpump]],[1]!Table2[#All],16,FALSE),0)</f>
        <v>0</v>
      </c>
      <c r="CB23" s="25">
        <f>IF(Table1[[#This Row],[Adjusted_ULife_PF]]=13,VLOOKUP(Table1[[#This Row],[Item_Platform]],[1]!Table2[#All],16,FALSE),0)</f>
        <v>0</v>
      </c>
      <c r="CC23" s="25">
        <f>SUM(Table1[[#This Row],[yr 13_wl]:[yr 13_pf]])</f>
        <v>0</v>
      </c>
      <c r="CD23" s="12"/>
    </row>
    <row r="24" spans="1:82" s="11" customFormat="1" x14ac:dyDescent="0.25">
      <c r="A24" s="11" t="str">
        <f>IF([1]Input_monitoring_data!A20="","",[1]Input_monitoring_data!A20)</f>
        <v>35e7-mg4w-ufsn</v>
      </c>
      <c r="B24" s="22" t="str">
        <f>[1]Input_monitoring_data!BH20</f>
        <v>GAMBIA</v>
      </c>
      <c r="C24" s="22" t="str">
        <f>[1]Input_monitoring_data!BI20</f>
        <v>ALHAJIKROM</v>
      </c>
      <c r="D24" s="22" t="str">
        <f>[1]Input_monitoring_data!P20</f>
        <v>7.01948496</v>
      </c>
      <c r="E24" s="22" t="str">
        <f>[1]Input_monitoring_data!Q20</f>
        <v>-2.67493018</v>
      </c>
      <c r="F24" s="22" t="str">
        <f>[1]Input_monitoring_data!V20</f>
        <v>School premises</v>
      </c>
      <c r="G24" s="23" t="str">
        <f>[1]Input_monitoring_data!U20</f>
        <v>Borehole</v>
      </c>
      <c r="H24" s="22">
        <f>[1]Input_monitoring_data!X20</f>
        <v>2017</v>
      </c>
      <c r="I24" s="21" t="str">
        <f>[1]Input_monitoring_data!AB20</f>
        <v>Borehole redevelopment</v>
      </c>
      <c r="J24" s="21">
        <f>[1]Input_monitoring_data!AC20</f>
        <v>0</v>
      </c>
      <c r="K24" s="23" t="str">
        <f>[1]Input_monitoring_data!W20</f>
        <v>AfriDev</v>
      </c>
      <c r="L24" s="22">
        <f>[1]Input_monitoring_data!X20</f>
        <v>2017</v>
      </c>
      <c r="M24" s="21" t="str">
        <f>IF([1]Input_monitoring_data!BL20&gt;'Point Sources_Asset_Register_'!L24,[1]Input_monitoring_data!BL20,"")</f>
        <v/>
      </c>
      <c r="N24" s="22" t="str">
        <f>[1]Input_monitoring_data!BQ20</f>
        <v>functional</v>
      </c>
      <c r="O24" s="22">
        <f>[1]Input_monitoring_data!AJ20</f>
        <v>0</v>
      </c>
      <c r="P24" s="23" t="s">
        <v>0</v>
      </c>
      <c r="Q24" s="22">
        <f>L24</f>
        <v>2017</v>
      </c>
      <c r="R24" s="21" t="str">
        <f>M24</f>
        <v/>
      </c>
      <c r="S24" s="20">
        <f>[1]Input_EUL_CRC_ERC!$B$17-Table1[[#This Row],[Year Installed_WL]]</f>
        <v>0</v>
      </c>
      <c r="T24" s="20">
        <f>[1]Input_EUL_CRC_ERC!$B$17-(IF(Table1[[#This Row],[Year Last_Rehab_WL ]]=0,Table1[[#This Row],[Year Installed_WL]],[1]Input_EUL_CRC_ERC!$B$17-Table1[[#This Row],[Year Last_Rehab_WL ]]))</f>
        <v>0</v>
      </c>
      <c r="U24" s="20">
        <f>(VLOOKUP(Table1[[#This Row],[Item_Rehab_WL]],[1]Input_EUL_CRC_ERC!$C$17:$E$27,2,FALSE)-Table1[[#This Row],[Last Rehab Age]])</f>
        <v>15</v>
      </c>
      <c r="V24" s="19">
        <f>[1]Input_EUL_CRC_ERC!$B$17-Table1[[#This Row],[Year Installed_HP]]</f>
        <v>0</v>
      </c>
      <c r="W24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24" s="19">
        <f>[1]Input_EUL_CRC_ERC!$B$17-Table1[[#This Row],[Year Installed_PF]]</f>
        <v>0</v>
      </c>
      <c r="Y24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24" s="25">
        <f>IF(Table1[[#This Row],[Years_Next_Rehab_Well]]&lt;=0,VLOOKUP(Table1[[#This Row],[Item_Rehab_WL]],[1]!Table2[#All],3,FALSE),0)</f>
        <v>0</v>
      </c>
      <c r="AA24" s="18">
        <f>IF(Table1[[#This Row],[Adjusted_ULife_HP]]&lt;=0,VLOOKUP(Table1[[#This Row],[Item_Handpump]],[1]!Table2[#All],3,FALSE),0)</f>
        <v>0</v>
      </c>
      <c r="AB24" s="18">
        <f>IF(Table1[[#This Row],[Adjusted_ULife_PF]]&lt;=0,VLOOKUP(Table1[[#This Row],[Item_Platform]],[1]!Table2[#All],3,FALSE),0)</f>
        <v>0</v>
      </c>
      <c r="AC24" s="18">
        <f>SUM(Table1[[#This Row],[current yr_wl]:[current yr_pf]])</f>
        <v>0</v>
      </c>
      <c r="AD24" s="25">
        <f>IF(Table1[[#This Row],[Years_Next_Rehab_Well]]=1,VLOOKUP(Table1[[#This Row],[Item_Rehab_WL]],[1]!Table2[#All],4,FALSE),0)</f>
        <v>0</v>
      </c>
      <c r="AE24" s="25">
        <f>IF(Table1[[#This Row],[Adjusted_ULife_HP]]=1,VLOOKUP(Table1[[#This Row],[Item_Handpump]],[1]!Table2[#All],4,FALSE),0)</f>
        <v>0</v>
      </c>
      <c r="AF24" s="25">
        <f>IF(Table1[[#This Row],[Adjusted_ULife_PF]]=1,VLOOKUP(Table1[[#This Row],[Item_Platform]],[1]!Table2[#All],4,FALSE),0)</f>
        <v>0</v>
      </c>
      <c r="AG24" s="25">
        <f>SUM(Table1[[#This Row],[yr 1_wl]:[yr 1_pf]])</f>
        <v>0</v>
      </c>
      <c r="AH24" s="25">
        <f>IF(Table1[[#This Row],[Years_Next_Rehab_Well]]=2,VLOOKUP(Table1[[#This Row],[Item_Rehab_WL]],[1]!Table2[#All],5,FALSE),0)</f>
        <v>0</v>
      </c>
      <c r="AI24" s="25">
        <f>IF(Table1[[#This Row],[Adjusted_ULife_HP]]=2,VLOOKUP(Table1[[#This Row],[Item_Handpump]],[1]!Table2[#All],5,FALSE),0)</f>
        <v>0</v>
      </c>
      <c r="AJ24" s="25">
        <f>IF(Table1[[#This Row],[Adjusted_ULife_PF]]=2,VLOOKUP(Table1[[#This Row],[Item_Platform]],[1]!Table2[#All],5,FALSE),0)</f>
        <v>0</v>
      </c>
      <c r="AK24" s="25">
        <f>SUM(Table1[[#This Row],[yr 2_wl]:[yr 2_pf]])</f>
        <v>0</v>
      </c>
      <c r="AL24" s="25">
        <f>IF(Table1[[#This Row],[Years_Next_Rehab_Well]]=3,VLOOKUP(Table1[[#This Row],[Item_Rehab_WL]],[1]!Table2[#All],6,FALSE),0)</f>
        <v>0</v>
      </c>
      <c r="AM24" s="25">
        <f>IF(Table1[[#This Row],[Adjusted_ULife_HP]]=3,VLOOKUP(Table1[[#This Row],[Item_Handpump]],[1]!Table2[#All],6,FALSE),0)</f>
        <v>0</v>
      </c>
      <c r="AN24" s="25">
        <f>IF(Table1[[#This Row],[Adjusted_ULife_PF]]=3,VLOOKUP(Table1[[#This Row],[Item_Platform]],[1]!Table2[#All],6,FALSE),0)</f>
        <v>0</v>
      </c>
      <c r="AO24" s="25">
        <f>SUM(Table1[[#This Row],[yr 3_wl]:[yr 3_pf]])</f>
        <v>0</v>
      </c>
      <c r="AP24" s="25">
        <f>IF(Table1[[#This Row],[Years_Next_Rehab_Well]]=4,VLOOKUP(Table1[[#This Row],[Item_Rehab_WL]],[1]!Table2[#All],7,FALSE),0)</f>
        <v>0</v>
      </c>
      <c r="AQ24" s="25">
        <f>IF(Table1[[#This Row],[Adjusted_ULife_HP]]=4,VLOOKUP(Table1[[#This Row],[Item_Handpump]],[1]!Table2[#All],7,FALSE),0)</f>
        <v>0</v>
      </c>
      <c r="AR24" s="25">
        <f>IF(Table1[[#This Row],[Adjusted_ULife_PF]]=4,VLOOKUP(Table1[[#This Row],[Item_Platform]],[1]!Table2[#All],7,FALSE),0)</f>
        <v>0</v>
      </c>
      <c r="AS24" s="25">
        <f>SUM(Table1[[#This Row],[yr 4_wl]:[yr 4_pf]])</f>
        <v>0</v>
      </c>
      <c r="AT24" s="25">
        <f>IF(Table1[[#This Row],[Years_Next_Rehab_Well]]=5,VLOOKUP(Table1[[#This Row],[Item_Rehab_WL]],[1]!Table2[#All],8,FALSE),0)</f>
        <v>0</v>
      </c>
      <c r="AU24" s="25">
        <f>IF(Table1[[#This Row],[Adjusted_ULife_HP]]=5,VLOOKUP(Table1[[#This Row],[Item_Handpump]],[1]!Table2[#All],8,FALSE),0)</f>
        <v>0</v>
      </c>
      <c r="AV24" s="25">
        <f>IF(Table1[[#This Row],[Adjusted_ULife_PF]]=5,VLOOKUP(Table1[[#This Row],[Item_Platform]],[1]!Table2[#All],8,FALSE),0)</f>
        <v>0</v>
      </c>
      <c r="AW24" s="25">
        <f>SUM(Table1[[#This Row],[yr 5_wl]:[yr 5_pf]])</f>
        <v>0</v>
      </c>
      <c r="AX24" s="25">
        <f>IF(Table1[[#This Row],[Years_Next_Rehab_Well]]=6,VLOOKUP(Table1[[#This Row],[Item_Rehab_WL]],[1]!Table2[#All],9,FALSE),0)</f>
        <v>0</v>
      </c>
      <c r="AY24" s="25">
        <f>IF(Table1[[#This Row],[Adjusted_ULife_HP]]=6,VLOOKUP(Table1[[#This Row],[Item_Handpump]],[1]!Table2[#All],9,FALSE),0)</f>
        <v>0</v>
      </c>
      <c r="AZ24" s="25">
        <f>IF(Table1[[#This Row],[Adjusted_ULife_PF]]=6,VLOOKUP(Table1[[#This Row],[Item_Platform]],[1]!Table2[#All],9,FALSE),0)</f>
        <v>0</v>
      </c>
      <c r="BA24" s="25">
        <f>SUM(Table1[[#This Row],[yr 6_wl]:[yr 6_pf]])</f>
        <v>0</v>
      </c>
      <c r="BB24" s="25">
        <f>IF(Table1[[#This Row],[Years_Next_Rehab_Well]]=7,VLOOKUP(Table1[[#This Row],[Item_Rehab_WL]],[1]!Table2[#All],10,FALSE),0)</f>
        <v>0</v>
      </c>
      <c r="BC24" s="25">
        <f>IF(Table1[[#This Row],[Adjusted_ULife_HP]]=7,VLOOKUP(Table1[[#This Row],[Item_Handpump]],[1]!Table2[#All],10,FALSE),0)</f>
        <v>0</v>
      </c>
      <c r="BD24" s="25">
        <f>IF(Table1[[#This Row],[Adjusted_ULife_PF]]=7,VLOOKUP(Table1[[#This Row],[Item_Platform]],[1]!Table2[#All],10,FALSE),0)</f>
        <v>0</v>
      </c>
      <c r="BE24" s="25">
        <f>SUM(Table1[[#This Row],[yr 7_wl]:[yr 7_pf]])</f>
        <v>0</v>
      </c>
      <c r="BF24" s="25">
        <f>IF(Table1[[#This Row],[Years_Next_Rehab_Well]]=8,VLOOKUP(Table1[[#This Row],[Item_Rehab_WL]],[1]!Table2[#All],11,FALSE),0)</f>
        <v>0</v>
      </c>
      <c r="BG24" s="25">
        <f>IF(Table1[[#This Row],[Adjusted_ULife_HP]]=8,VLOOKUP(Table1[[#This Row],[Item_Handpump]],[1]!Table2[#All],11,FALSE),0)</f>
        <v>0</v>
      </c>
      <c r="BH24" s="25">
        <f>IF(Table1[[#This Row],[Adjusted_ULife_PF]]=8,VLOOKUP(Table1[[#This Row],[Item_Platform]],[1]!Table2[#All],11,FALSE),0)</f>
        <v>0</v>
      </c>
      <c r="BI24" s="25">
        <f>SUM(Table1[[#This Row],[yr 8_wl]:[yr 8_pf]])</f>
        <v>0</v>
      </c>
      <c r="BJ24" s="25">
        <f>IF(Table1[[#This Row],[Years_Next_Rehab_Well]]=9,VLOOKUP(Table1[[#This Row],[Item_Rehab_WL]],[1]!Table2[#All],12,FALSE),0)</f>
        <v>0</v>
      </c>
      <c r="BK24" s="25">
        <f>IF(Table1[[#This Row],[Adjusted_ULife_HP]]=9,VLOOKUP(Table1[[#This Row],[Item_Handpump]],[1]!Table2[#All],12,FALSE),0)</f>
        <v>0</v>
      </c>
      <c r="BL24" s="25">
        <f>IF(Table1[[#This Row],[Adjusted_ULife_PF]]=9,VLOOKUP(Table1[[#This Row],[Item_Platform]],[1]!Table2[#All],12,FALSE),0)</f>
        <v>0</v>
      </c>
      <c r="BM24" s="25">
        <f>SUM(Table1[[#This Row],[yr 9_wl]:[yr 9_pf]])</f>
        <v>0</v>
      </c>
      <c r="BN24" s="25">
        <f>IF(Table1[[#This Row],[Years_Next_Rehab_Well]]=10,VLOOKUP(Table1[[#This Row],[Item_Rehab_WL]],[1]!Table2[#All],13,FALSE),0)</f>
        <v>0</v>
      </c>
      <c r="BO24" s="25">
        <f>IF(Table1[[#This Row],[Adjusted_ULife_HP]]=10,VLOOKUP(Table1[[#This Row],[Item_Handpump]],[1]!Table2[#All],13,FALSE),0)</f>
        <v>0</v>
      </c>
      <c r="BP24" s="25">
        <f>IF(Table1[[#This Row],[Adjusted_ULife_PF]]=10,VLOOKUP(Table1[[#This Row],[Item_Platform]],[1]!Table2[#All],13,FALSE),0)</f>
        <v>4658.7723125163184</v>
      </c>
      <c r="BQ24" s="25">
        <f>SUM(Table1[[#This Row],[yr 10_wl]:[yr 10_pf]])</f>
        <v>4658.7723125163184</v>
      </c>
      <c r="BR24" s="25">
        <f>IF(Table1[[#This Row],[Years_Next_Rehab_Well]]=11,VLOOKUP(Table1[[#This Row],[Item_Rehab_WL]],[1]!Table2[#All],14,FALSE),0)</f>
        <v>0</v>
      </c>
      <c r="BS24" s="25">
        <f>IF(Table1[[#This Row],[Adjusted_ULife_HP]]=11,VLOOKUP(Table1[[#This Row],[Item_Handpump]],[1]!Table2[#All],14,FALSE),0)</f>
        <v>0</v>
      </c>
      <c r="BT24" s="25">
        <f>IF(Table1[[#This Row],[Adjusted_ULife_PF]]=11,VLOOKUP(Table1[[#This Row],[Item_Platform]],[1]!Table2[#All],14,FALSE),0)</f>
        <v>0</v>
      </c>
      <c r="BU24" s="25">
        <f>SUM(Table1[[#This Row],[yr 11_wl]:[yr 11_pf]])</f>
        <v>0</v>
      </c>
      <c r="BV24" s="25">
        <f>IF(Table1[[#This Row],[Years_Next_Rehab_Well]]=12,VLOOKUP(Table1[[#This Row],[Item_Rehab_WL]],[1]!Table2[#All],15,FALSE),0)</f>
        <v>0</v>
      </c>
      <c r="BW24" s="25">
        <f>IF(Table1[[#This Row],[Adjusted_ULife_HP]]=12,VLOOKUP(Table1[[#This Row],[Item_Handpump]],[1]!Table2[#All],15,FALSE),0)</f>
        <v>0</v>
      </c>
      <c r="BX24" s="25">
        <f>IF(Table1[[#This Row],[Adjusted_ULife_PF]]=12,VLOOKUP(Table1[[#This Row],[Item_Platform]],[1]!Table2[#All],15,FALSE),0)</f>
        <v>0</v>
      </c>
      <c r="BY24" s="25">
        <f>SUM(Table1[[#This Row],[yr 12_wl]:[yr 12_pf]])</f>
        <v>0</v>
      </c>
      <c r="BZ24" s="25">
        <f>IF(Table1[[#This Row],[Years_Next_Rehab_Well]]=13,VLOOKUP(Table1[[#This Row],[Item_Rehab_WL]],[1]!Table2[#All],16,FALSE),0)</f>
        <v>0</v>
      </c>
      <c r="CA24" s="25">
        <f>IF(Table1[[#This Row],[Adjusted_ULife_HP]]=13,VLOOKUP(Table1[[#This Row],[Item_Handpump]],[1]!Table2[#All],16,FALSE),0)</f>
        <v>0</v>
      </c>
      <c r="CB24" s="25">
        <f>IF(Table1[[#This Row],[Adjusted_ULife_PF]]=13,VLOOKUP(Table1[[#This Row],[Item_Platform]],[1]!Table2[#All],16,FALSE),0)</f>
        <v>0</v>
      </c>
      <c r="CC24" s="25">
        <f>SUM(Table1[[#This Row],[yr 13_wl]:[yr 13_pf]])</f>
        <v>0</v>
      </c>
      <c r="CD24" s="12"/>
    </row>
    <row r="25" spans="1:82" s="11" customFormat="1" x14ac:dyDescent="0.25">
      <c r="A25" s="11" t="str">
        <f>IF([1]Input_monitoring_data!A21="","",[1]Input_monitoring_data!A21)</f>
        <v>3bpw-73pr-vyac</v>
      </c>
      <c r="B25" s="22" t="str">
        <f>[1]Input_monitoring_data!BH21</f>
        <v>Goamu</v>
      </c>
      <c r="C25" s="22" t="str">
        <f>[1]Input_monitoring_data!BI21</f>
        <v>Goamu Koforidua</v>
      </c>
      <c r="D25" s="22" t="str">
        <f>[1]Input_monitoring_data!P21</f>
        <v>7.054650159420261</v>
      </c>
      <c r="E25" s="22" t="str">
        <f>[1]Input_monitoring_data!Q21</f>
        <v>-2.5009260241942117</v>
      </c>
      <c r="F25" s="22" t="str">
        <f>[1]Input_monitoring_data!V21</f>
        <v>Close To Church Of Pentecost</v>
      </c>
      <c r="G25" s="23" t="str">
        <f>[1]Input_monitoring_data!U21</f>
        <v>Borehole</v>
      </c>
      <c r="H25" s="22">
        <f>[1]Input_monitoring_data!X21</f>
        <v>1987</v>
      </c>
      <c r="I25" s="21" t="str">
        <f>[1]Input_monitoring_data!AB21</f>
        <v>Borehole redevelopment</v>
      </c>
      <c r="J25" s="21">
        <f>[1]Input_monitoring_data!AC21</f>
        <v>0</v>
      </c>
      <c r="K25" s="23" t="str">
        <f>[1]Input_monitoring_data!W21</f>
        <v>Ghana modified India Mark II</v>
      </c>
      <c r="L25" s="22">
        <f>[1]Input_monitoring_data!X21</f>
        <v>1987</v>
      </c>
      <c r="M25" s="21">
        <f>IF([1]Input_monitoring_data!BL21&gt;'Point Sources_Asset_Register_'!L25,[1]Input_monitoring_data!BL21,"")</f>
        <v>2013</v>
      </c>
      <c r="N25" s="22" t="str">
        <f>[1]Input_monitoring_data!BQ21</f>
        <v>functional</v>
      </c>
      <c r="O25" s="22">
        <f>[1]Input_monitoring_data!AJ21</f>
        <v>0</v>
      </c>
      <c r="P25" s="23" t="s">
        <v>0</v>
      </c>
      <c r="Q25" s="22">
        <f>L25</f>
        <v>1987</v>
      </c>
      <c r="R25" s="21">
        <f>M25</f>
        <v>2013</v>
      </c>
      <c r="S25" s="20">
        <f>[1]Input_EUL_CRC_ERC!$B$17-Table1[[#This Row],[Year Installed_WL]]</f>
        <v>30</v>
      </c>
      <c r="T25" s="20">
        <f>[1]Input_EUL_CRC_ERC!$B$17-(IF(Table1[[#This Row],[Year Last_Rehab_WL ]]=0,Table1[[#This Row],[Year Installed_WL]],[1]Input_EUL_CRC_ERC!$B$17-Table1[[#This Row],[Year Last_Rehab_WL ]]))</f>
        <v>30</v>
      </c>
      <c r="U25" s="20">
        <f>(VLOOKUP(Table1[[#This Row],[Item_Rehab_WL]],[1]Input_EUL_CRC_ERC!$C$17:$E$27,2,FALSE)-Table1[[#This Row],[Last Rehab Age]])</f>
        <v>-15</v>
      </c>
      <c r="V25" s="19">
        <f>[1]Input_EUL_CRC_ERC!$B$17-Table1[[#This Row],[Year Installed_HP]]</f>
        <v>30</v>
      </c>
      <c r="W25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25" s="19">
        <f>[1]Input_EUL_CRC_ERC!$B$17-Table1[[#This Row],[Year Installed_PF]]</f>
        <v>30</v>
      </c>
      <c r="Y25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25" s="25">
        <f>IF(Table1[[#This Row],[Years_Next_Rehab_Well]]&lt;=0,VLOOKUP(Table1[[#This Row],[Item_Rehab_WL]],[1]!Table2[#All],3,FALSE),0)</f>
        <v>3666.6666666666665</v>
      </c>
      <c r="AA25" s="18">
        <f>IF(Table1[[#This Row],[Adjusted_ULife_HP]]&lt;=0,VLOOKUP(Table1[[#This Row],[Item_Handpump]],[1]!Table2[#All],3,FALSE),0)</f>
        <v>0</v>
      </c>
      <c r="AB25" s="18">
        <f>IF(Table1[[#This Row],[Adjusted_ULife_PF]]&lt;=0,VLOOKUP(Table1[[#This Row],[Item_Platform]],[1]!Table2[#All],3,FALSE),0)</f>
        <v>0</v>
      </c>
      <c r="AC25" s="18">
        <f>SUM(Table1[[#This Row],[current yr_wl]:[current yr_pf]])</f>
        <v>3666.6666666666665</v>
      </c>
      <c r="AD25" s="25">
        <f>IF(Table1[[#This Row],[Years_Next_Rehab_Well]]=1,VLOOKUP(Table1[[#This Row],[Item_Rehab_WL]],[1]!Table2[#All],4,FALSE),0)</f>
        <v>0</v>
      </c>
      <c r="AE25" s="25">
        <f>IF(Table1[[#This Row],[Adjusted_ULife_HP]]=1,VLOOKUP(Table1[[#This Row],[Item_Handpump]],[1]!Table2[#All],4,FALSE),0)</f>
        <v>0</v>
      </c>
      <c r="AF25" s="25">
        <f>IF(Table1[[#This Row],[Adjusted_ULife_PF]]=1,VLOOKUP(Table1[[#This Row],[Item_Platform]],[1]!Table2[#All],4,FALSE),0)</f>
        <v>0</v>
      </c>
      <c r="AG25" s="25">
        <f>SUM(Table1[[#This Row],[yr 1_wl]:[yr 1_pf]])</f>
        <v>0</v>
      </c>
      <c r="AH25" s="25">
        <f>IF(Table1[[#This Row],[Years_Next_Rehab_Well]]=2,VLOOKUP(Table1[[#This Row],[Item_Rehab_WL]],[1]!Table2[#All],5,FALSE),0)</f>
        <v>0</v>
      </c>
      <c r="AI25" s="25">
        <f>IF(Table1[[#This Row],[Adjusted_ULife_HP]]=2,VLOOKUP(Table1[[#This Row],[Item_Handpump]],[1]!Table2[#All],5,FALSE),0)</f>
        <v>0</v>
      </c>
      <c r="AJ25" s="25">
        <f>IF(Table1[[#This Row],[Adjusted_ULife_PF]]=2,VLOOKUP(Table1[[#This Row],[Item_Platform]],[1]!Table2[#All],5,FALSE),0)</f>
        <v>0</v>
      </c>
      <c r="AK25" s="25">
        <f>SUM(Table1[[#This Row],[yr 2_wl]:[yr 2_pf]])</f>
        <v>0</v>
      </c>
      <c r="AL25" s="25">
        <f>IF(Table1[[#This Row],[Years_Next_Rehab_Well]]=3,VLOOKUP(Table1[[#This Row],[Item_Rehab_WL]],[1]!Table2[#All],6,FALSE),0)</f>
        <v>0</v>
      </c>
      <c r="AM25" s="25">
        <f>IF(Table1[[#This Row],[Adjusted_ULife_HP]]=3,VLOOKUP(Table1[[#This Row],[Item_Handpump]],[1]!Table2[#All],6,FALSE),0)</f>
        <v>0</v>
      </c>
      <c r="AN25" s="25">
        <f>IF(Table1[[#This Row],[Adjusted_ULife_PF]]=3,VLOOKUP(Table1[[#This Row],[Item_Platform]],[1]!Table2[#All],6,FALSE),0)</f>
        <v>0</v>
      </c>
      <c r="AO25" s="25">
        <f>SUM(Table1[[#This Row],[yr 3_wl]:[yr 3_pf]])</f>
        <v>0</v>
      </c>
      <c r="AP25" s="25">
        <f>IF(Table1[[#This Row],[Years_Next_Rehab_Well]]=4,VLOOKUP(Table1[[#This Row],[Item_Rehab_WL]],[1]!Table2[#All],7,FALSE),0)</f>
        <v>0</v>
      </c>
      <c r="AQ25" s="25">
        <f>IF(Table1[[#This Row],[Adjusted_ULife_HP]]=4,VLOOKUP(Table1[[#This Row],[Item_Handpump]],[1]!Table2[#All],7,FALSE),0)</f>
        <v>0</v>
      </c>
      <c r="AR25" s="25">
        <f>IF(Table1[[#This Row],[Adjusted_ULife_PF]]=4,VLOOKUP(Table1[[#This Row],[Item_Platform]],[1]!Table2[#All],7,FALSE),0)</f>
        <v>0</v>
      </c>
      <c r="AS25" s="25">
        <f>SUM(Table1[[#This Row],[yr 4_wl]:[yr 4_pf]])</f>
        <v>0</v>
      </c>
      <c r="AT25" s="25">
        <f>IF(Table1[[#This Row],[Years_Next_Rehab_Well]]=5,VLOOKUP(Table1[[#This Row],[Item_Rehab_WL]],[1]!Table2[#All],8,FALSE),0)</f>
        <v>0</v>
      </c>
      <c r="AU25" s="25">
        <f>IF(Table1[[#This Row],[Adjusted_ULife_HP]]=5,VLOOKUP(Table1[[#This Row],[Item_Handpump]],[1]!Table2[#All],8,FALSE),0)</f>
        <v>0</v>
      </c>
      <c r="AV25" s="25">
        <f>IF(Table1[[#This Row],[Adjusted_ULife_PF]]=5,VLOOKUP(Table1[[#This Row],[Item_Platform]],[1]!Table2[#All],8,FALSE),0)</f>
        <v>0</v>
      </c>
      <c r="AW25" s="25">
        <f>SUM(Table1[[#This Row],[yr 5_wl]:[yr 5_pf]])</f>
        <v>0</v>
      </c>
      <c r="AX25" s="25">
        <f>IF(Table1[[#This Row],[Years_Next_Rehab_Well]]=6,VLOOKUP(Table1[[#This Row],[Item_Rehab_WL]],[1]!Table2[#All],9,FALSE),0)</f>
        <v>0</v>
      </c>
      <c r="AY25" s="25">
        <f>IF(Table1[[#This Row],[Adjusted_ULife_HP]]=6,VLOOKUP(Table1[[#This Row],[Item_Handpump]],[1]!Table2[#All],9,FALSE),0)</f>
        <v>0</v>
      </c>
      <c r="AZ25" s="25">
        <f>IF(Table1[[#This Row],[Adjusted_ULife_PF]]=6,VLOOKUP(Table1[[#This Row],[Item_Platform]],[1]!Table2[#All],9,FALSE),0)</f>
        <v>2960.7340277760022</v>
      </c>
      <c r="BA25" s="25">
        <f>SUM(Table1[[#This Row],[yr 6_wl]:[yr 6_pf]])</f>
        <v>2960.7340277760022</v>
      </c>
      <c r="BB25" s="25">
        <f>IF(Table1[[#This Row],[Years_Next_Rehab_Well]]=7,VLOOKUP(Table1[[#This Row],[Item_Rehab_WL]],[1]!Table2[#All],10,FALSE),0)</f>
        <v>0</v>
      </c>
      <c r="BC25" s="25">
        <f>IF(Table1[[#This Row],[Adjusted_ULife_HP]]=7,VLOOKUP(Table1[[#This Row],[Item_Handpump]],[1]!Table2[#All],10,FALSE),0)</f>
        <v>0</v>
      </c>
      <c r="BD25" s="25">
        <f>IF(Table1[[#This Row],[Adjusted_ULife_PF]]=7,VLOOKUP(Table1[[#This Row],[Item_Platform]],[1]!Table2[#All],10,FALSE),0)</f>
        <v>0</v>
      </c>
      <c r="BE25" s="25">
        <f>SUM(Table1[[#This Row],[yr 7_wl]:[yr 7_pf]])</f>
        <v>0</v>
      </c>
      <c r="BF25" s="25">
        <f>IF(Table1[[#This Row],[Years_Next_Rehab_Well]]=8,VLOOKUP(Table1[[#This Row],[Item_Rehab_WL]],[1]!Table2[#All],11,FALSE),0)</f>
        <v>0</v>
      </c>
      <c r="BG25" s="25">
        <f>IF(Table1[[#This Row],[Adjusted_ULife_HP]]=8,VLOOKUP(Table1[[#This Row],[Item_Handpump]],[1]!Table2[#All],11,FALSE),0)</f>
        <v>0</v>
      </c>
      <c r="BH25" s="25">
        <f>IF(Table1[[#This Row],[Adjusted_ULife_PF]]=8,VLOOKUP(Table1[[#This Row],[Item_Platform]],[1]!Table2[#All],11,FALSE),0)</f>
        <v>0</v>
      </c>
      <c r="BI25" s="25">
        <f>SUM(Table1[[#This Row],[yr 8_wl]:[yr 8_pf]])</f>
        <v>0</v>
      </c>
      <c r="BJ25" s="25">
        <f>IF(Table1[[#This Row],[Years_Next_Rehab_Well]]=9,VLOOKUP(Table1[[#This Row],[Item_Rehab_WL]],[1]!Table2[#All],12,FALSE),0)</f>
        <v>0</v>
      </c>
      <c r="BK25" s="25">
        <f>IF(Table1[[#This Row],[Adjusted_ULife_HP]]=9,VLOOKUP(Table1[[#This Row],[Item_Handpump]],[1]!Table2[#All],12,FALSE),0)</f>
        <v>0</v>
      </c>
      <c r="BL25" s="25">
        <f>IF(Table1[[#This Row],[Adjusted_ULife_PF]]=9,VLOOKUP(Table1[[#This Row],[Item_Platform]],[1]!Table2[#All],12,FALSE),0)</f>
        <v>0</v>
      </c>
      <c r="BM25" s="25">
        <f>SUM(Table1[[#This Row],[yr 9_wl]:[yr 9_pf]])</f>
        <v>0</v>
      </c>
      <c r="BN25" s="25">
        <f>IF(Table1[[#This Row],[Years_Next_Rehab_Well]]=10,VLOOKUP(Table1[[#This Row],[Item_Rehab_WL]],[1]!Table2[#All],13,FALSE),0)</f>
        <v>0</v>
      </c>
      <c r="BO25" s="25">
        <f>IF(Table1[[#This Row],[Adjusted_ULife_HP]]=10,VLOOKUP(Table1[[#This Row],[Item_Handpump]],[1]!Table2[#All],13,FALSE),0)</f>
        <v>0</v>
      </c>
      <c r="BP25" s="25">
        <f>IF(Table1[[#This Row],[Adjusted_ULife_PF]]=10,VLOOKUP(Table1[[#This Row],[Item_Platform]],[1]!Table2[#All],13,FALSE),0)</f>
        <v>0</v>
      </c>
      <c r="BQ25" s="25">
        <f>SUM(Table1[[#This Row],[yr 10_wl]:[yr 10_pf]])</f>
        <v>0</v>
      </c>
      <c r="BR25" s="25">
        <f>IF(Table1[[#This Row],[Years_Next_Rehab_Well]]=11,VLOOKUP(Table1[[#This Row],[Item_Rehab_WL]],[1]!Table2[#All],14,FALSE),0)</f>
        <v>0</v>
      </c>
      <c r="BS25" s="25">
        <f>IF(Table1[[#This Row],[Adjusted_ULife_HP]]=11,VLOOKUP(Table1[[#This Row],[Item_Handpump]],[1]!Table2[#All],14,FALSE),0)</f>
        <v>0</v>
      </c>
      <c r="BT25" s="25">
        <f>IF(Table1[[#This Row],[Adjusted_ULife_PF]]=11,VLOOKUP(Table1[[#This Row],[Item_Platform]],[1]!Table2[#All],14,FALSE),0)</f>
        <v>0</v>
      </c>
      <c r="BU25" s="25">
        <f>SUM(Table1[[#This Row],[yr 11_wl]:[yr 11_pf]])</f>
        <v>0</v>
      </c>
      <c r="BV25" s="25">
        <f>IF(Table1[[#This Row],[Years_Next_Rehab_Well]]=12,VLOOKUP(Table1[[#This Row],[Item_Rehab_WL]],[1]!Table2[#All],15,FALSE),0)</f>
        <v>0</v>
      </c>
      <c r="BW25" s="25">
        <f>IF(Table1[[#This Row],[Adjusted_ULife_HP]]=12,VLOOKUP(Table1[[#This Row],[Item_Handpump]],[1]!Table2[#All],15,FALSE),0)</f>
        <v>0</v>
      </c>
      <c r="BX25" s="25">
        <f>IF(Table1[[#This Row],[Adjusted_ULife_PF]]=12,VLOOKUP(Table1[[#This Row],[Item_Platform]],[1]!Table2[#All],15,FALSE),0)</f>
        <v>0</v>
      </c>
      <c r="BY25" s="25">
        <f>SUM(Table1[[#This Row],[yr 12_wl]:[yr 12_pf]])</f>
        <v>0</v>
      </c>
      <c r="BZ25" s="25">
        <f>IF(Table1[[#This Row],[Years_Next_Rehab_Well]]=13,VLOOKUP(Table1[[#This Row],[Item_Rehab_WL]],[1]!Table2[#All],16,FALSE),0)</f>
        <v>0</v>
      </c>
      <c r="CA25" s="25">
        <f>IF(Table1[[#This Row],[Adjusted_ULife_HP]]=13,VLOOKUP(Table1[[#This Row],[Item_Handpump]],[1]!Table2[#All],16,FALSE),0)</f>
        <v>0</v>
      </c>
      <c r="CB25" s="25">
        <f>IF(Table1[[#This Row],[Adjusted_ULife_PF]]=13,VLOOKUP(Table1[[#This Row],[Item_Platform]],[1]!Table2[#All],16,FALSE),0)</f>
        <v>0</v>
      </c>
      <c r="CC25" s="25">
        <f>SUM(Table1[[#This Row],[yr 13_wl]:[yr 13_pf]])</f>
        <v>0</v>
      </c>
      <c r="CD25" s="12"/>
    </row>
    <row r="26" spans="1:82" s="11" customFormat="1" x14ac:dyDescent="0.25">
      <c r="A26" s="11" t="str">
        <f>IF([1]Input_monitoring_data!A22="","",[1]Input_monitoring_data!A22)</f>
        <v>3exe-d4s2-4q97</v>
      </c>
      <c r="B26" s="22" t="str">
        <f>[1]Input_monitoring_data!BH22</f>
        <v>Goamu</v>
      </c>
      <c r="C26" s="22" t="str">
        <f>[1]Input_monitoring_data!BI22</f>
        <v>Torkrom No.2</v>
      </c>
      <c r="D26" s="22" t="str">
        <f>[1]Input_monitoring_data!P22</f>
        <v>7.02960743235957</v>
      </c>
      <c r="E26" s="22" t="str">
        <f>[1]Input_monitoring_data!Q22</f>
        <v>-2.532713039090836</v>
      </c>
      <c r="F26" s="22" t="str">
        <f>[1]Input_monitoring_data!V22</f>
        <v>Close Kwame Bodu's House</v>
      </c>
      <c r="G26" s="23" t="str">
        <f>[1]Input_monitoring_data!U22</f>
        <v>Borehole</v>
      </c>
      <c r="H26" s="22">
        <f>[1]Input_monitoring_data!X22</f>
        <v>2012</v>
      </c>
      <c r="I26" s="21" t="str">
        <f>[1]Input_monitoring_data!AB22</f>
        <v>Borehole redevelopment</v>
      </c>
      <c r="J26" s="21">
        <f>[1]Input_monitoring_data!AC22</f>
        <v>0</v>
      </c>
      <c r="K26" s="23" t="str">
        <f>[1]Input_monitoring_data!W22</f>
        <v>AfriDev</v>
      </c>
      <c r="L26" s="22">
        <f>[1]Input_monitoring_data!X22</f>
        <v>2012</v>
      </c>
      <c r="M26" s="21">
        <f>IF([1]Input_monitoring_data!BL22&gt;'Point Sources_Asset_Register_'!L26,[1]Input_monitoring_data!BL22,"")</f>
        <v>2017</v>
      </c>
      <c r="N26" s="22" t="str">
        <f>[1]Input_monitoring_data!BQ22</f>
        <v>partially functional</v>
      </c>
      <c r="O26" s="22">
        <f>[1]Input_monitoring_data!AJ22</f>
        <v>0</v>
      </c>
      <c r="P26" s="23" t="s">
        <v>0</v>
      </c>
      <c r="Q26" s="22">
        <f>L26</f>
        <v>2012</v>
      </c>
      <c r="R26" s="21">
        <f>M26</f>
        <v>2017</v>
      </c>
      <c r="S26" s="20">
        <f>[1]Input_EUL_CRC_ERC!$B$17-Table1[[#This Row],[Year Installed_WL]]</f>
        <v>5</v>
      </c>
      <c r="T26" s="20">
        <f>[1]Input_EUL_CRC_ERC!$B$17-(IF(Table1[[#This Row],[Year Last_Rehab_WL ]]=0,Table1[[#This Row],[Year Installed_WL]],[1]Input_EUL_CRC_ERC!$B$17-Table1[[#This Row],[Year Last_Rehab_WL ]]))</f>
        <v>5</v>
      </c>
      <c r="U26" s="20">
        <f>(VLOOKUP(Table1[[#This Row],[Item_Rehab_WL]],[1]Input_EUL_CRC_ERC!$C$17:$E$27,2,FALSE)-Table1[[#This Row],[Last Rehab Age]])</f>
        <v>10</v>
      </c>
      <c r="V26" s="19">
        <f>[1]Input_EUL_CRC_ERC!$B$17-Table1[[#This Row],[Year Installed_HP]]</f>
        <v>5</v>
      </c>
      <c r="W26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26" s="19">
        <f>[1]Input_EUL_CRC_ERC!$B$17-Table1[[#This Row],[Year Installed_PF]]</f>
        <v>5</v>
      </c>
      <c r="Y26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26" s="25">
        <f>IF(Table1[[#This Row],[Years_Next_Rehab_Well]]&lt;=0,VLOOKUP(Table1[[#This Row],[Item_Rehab_WL]],[1]!Table2[#All],3,FALSE),0)</f>
        <v>0</v>
      </c>
      <c r="AA26" s="18">
        <f>IF(Table1[[#This Row],[Adjusted_ULife_HP]]&lt;=0,VLOOKUP(Table1[[#This Row],[Item_Handpump]],[1]!Table2[#All],3,FALSE),0)</f>
        <v>0</v>
      </c>
      <c r="AB26" s="18">
        <f>IF(Table1[[#This Row],[Adjusted_ULife_PF]]&lt;=0,VLOOKUP(Table1[[#This Row],[Item_Platform]],[1]!Table2[#All],3,FALSE),0)</f>
        <v>0</v>
      </c>
      <c r="AC26" s="18">
        <f>SUM(Table1[[#This Row],[current yr_wl]:[current yr_pf]])</f>
        <v>0</v>
      </c>
      <c r="AD26" s="25">
        <f>IF(Table1[[#This Row],[Years_Next_Rehab_Well]]=1,VLOOKUP(Table1[[#This Row],[Item_Rehab_WL]],[1]!Table2[#All],4,FALSE),0)</f>
        <v>0</v>
      </c>
      <c r="AE26" s="25">
        <f>IF(Table1[[#This Row],[Adjusted_ULife_HP]]=1,VLOOKUP(Table1[[#This Row],[Item_Handpump]],[1]!Table2[#All],4,FALSE),0)</f>
        <v>0</v>
      </c>
      <c r="AF26" s="25">
        <f>IF(Table1[[#This Row],[Adjusted_ULife_PF]]=1,VLOOKUP(Table1[[#This Row],[Item_Platform]],[1]!Table2[#All],4,FALSE),0)</f>
        <v>0</v>
      </c>
      <c r="AG26" s="25">
        <f>SUM(Table1[[#This Row],[yr 1_wl]:[yr 1_pf]])</f>
        <v>0</v>
      </c>
      <c r="AH26" s="25">
        <f>IF(Table1[[#This Row],[Years_Next_Rehab_Well]]=2,VLOOKUP(Table1[[#This Row],[Item_Rehab_WL]],[1]!Table2[#All],5,FALSE),0)</f>
        <v>0</v>
      </c>
      <c r="AI26" s="25">
        <f>IF(Table1[[#This Row],[Adjusted_ULife_HP]]=2,VLOOKUP(Table1[[#This Row],[Item_Handpump]],[1]!Table2[#All],5,FALSE),0)</f>
        <v>0</v>
      </c>
      <c r="AJ26" s="25">
        <f>IF(Table1[[#This Row],[Adjusted_ULife_PF]]=2,VLOOKUP(Table1[[#This Row],[Item_Platform]],[1]!Table2[#All],5,FALSE),0)</f>
        <v>0</v>
      </c>
      <c r="AK26" s="25">
        <f>SUM(Table1[[#This Row],[yr 2_wl]:[yr 2_pf]])</f>
        <v>0</v>
      </c>
      <c r="AL26" s="25">
        <f>IF(Table1[[#This Row],[Years_Next_Rehab_Well]]=3,VLOOKUP(Table1[[#This Row],[Item_Rehab_WL]],[1]!Table2[#All],6,FALSE),0)</f>
        <v>0</v>
      </c>
      <c r="AM26" s="25">
        <f>IF(Table1[[#This Row],[Adjusted_ULife_HP]]=3,VLOOKUP(Table1[[#This Row],[Item_Handpump]],[1]!Table2[#All],6,FALSE),0)</f>
        <v>0</v>
      </c>
      <c r="AN26" s="25">
        <f>IF(Table1[[#This Row],[Adjusted_ULife_PF]]=3,VLOOKUP(Table1[[#This Row],[Item_Platform]],[1]!Table2[#All],6,FALSE),0)</f>
        <v>0</v>
      </c>
      <c r="AO26" s="25">
        <f>SUM(Table1[[#This Row],[yr 3_wl]:[yr 3_pf]])</f>
        <v>0</v>
      </c>
      <c r="AP26" s="25">
        <f>IF(Table1[[#This Row],[Years_Next_Rehab_Well]]=4,VLOOKUP(Table1[[#This Row],[Item_Rehab_WL]],[1]!Table2[#All],7,FALSE),0)</f>
        <v>0</v>
      </c>
      <c r="AQ26" s="25">
        <f>IF(Table1[[#This Row],[Adjusted_ULife_HP]]=4,VLOOKUP(Table1[[#This Row],[Item_Handpump]],[1]!Table2[#All],7,FALSE),0)</f>
        <v>0</v>
      </c>
      <c r="AR26" s="25">
        <f>IF(Table1[[#This Row],[Adjusted_ULife_PF]]=4,VLOOKUP(Table1[[#This Row],[Item_Platform]],[1]!Table2[#All],7,FALSE),0)</f>
        <v>0</v>
      </c>
      <c r="AS26" s="25">
        <f>SUM(Table1[[#This Row],[yr 4_wl]:[yr 4_pf]])</f>
        <v>0</v>
      </c>
      <c r="AT26" s="25">
        <f>IF(Table1[[#This Row],[Years_Next_Rehab_Well]]=5,VLOOKUP(Table1[[#This Row],[Item_Rehab_WL]],[1]!Table2[#All],8,FALSE),0)</f>
        <v>0</v>
      </c>
      <c r="AU26" s="25">
        <f>IF(Table1[[#This Row],[Adjusted_ULife_HP]]=5,VLOOKUP(Table1[[#This Row],[Item_Handpump]],[1]!Table2[#All],8,FALSE),0)</f>
        <v>0</v>
      </c>
      <c r="AV26" s="25">
        <f>IF(Table1[[#This Row],[Adjusted_ULife_PF]]=5,VLOOKUP(Table1[[#This Row],[Item_Platform]],[1]!Table2[#All],8,FALSE),0)</f>
        <v>0</v>
      </c>
      <c r="AW26" s="25">
        <f>SUM(Table1[[#This Row],[yr 5_wl]:[yr 5_pf]])</f>
        <v>0</v>
      </c>
      <c r="AX26" s="25">
        <f>IF(Table1[[#This Row],[Years_Next_Rehab_Well]]=6,VLOOKUP(Table1[[#This Row],[Item_Rehab_WL]],[1]!Table2[#All],9,FALSE),0)</f>
        <v>0</v>
      </c>
      <c r="AY26" s="25">
        <f>IF(Table1[[#This Row],[Adjusted_ULife_HP]]=6,VLOOKUP(Table1[[#This Row],[Item_Handpump]],[1]!Table2[#All],9,FALSE),0)</f>
        <v>0</v>
      </c>
      <c r="AZ26" s="25">
        <f>IF(Table1[[#This Row],[Adjusted_ULife_PF]]=6,VLOOKUP(Table1[[#This Row],[Item_Platform]],[1]!Table2[#All],9,FALSE),0)</f>
        <v>0</v>
      </c>
      <c r="BA26" s="25">
        <f>SUM(Table1[[#This Row],[yr 6_wl]:[yr 6_pf]])</f>
        <v>0</v>
      </c>
      <c r="BB26" s="25">
        <f>IF(Table1[[#This Row],[Years_Next_Rehab_Well]]=7,VLOOKUP(Table1[[#This Row],[Item_Rehab_WL]],[1]!Table2[#All],10,FALSE),0)</f>
        <v>0</v>
      </c>
      <c r="BC26" s="25">
        <f>IF(Table1[[#This Row],[Adjusted_ULife_HP]]=7,VLOOKUP(Table1[[#This Row],[Item_Handpump]],[1]!Table2[#All],10,FALSE),0)</f>
        <v>0</v>
      </c>
      <c r="BD26" s="25">
        <f>IF(Table1[[#This Row],[Adjusted_ULife_PF]]=7,VLOOKUP(Table1[[#This Row],[Item_Platform]],[1]!Table2[#All],10,FALSE),0)</f>
        <v>0</v>
      </c>
      <c r="BE26" s="25">
        <f>SUM(Table1[[#This Row],[yr 7_wl]:[yr 7_pf]])</f>
        <v>0</v>
      </c>
      <c r="BF26" s="25">
        <f>IF(Table1[[#This Row],[Years_Next_Rehab_Well]]=8,VLOOKUP(Table1[[#This Row],[Item_Rehab_WL]],[1]!Table2[#All],11,FALSE),0)</f>
        <v>0</v>
      </c>
      <c r="BG26" s="25">
        <f>IF(Table1[[#This Row],[Adjusted_ULife_HP]]=8,VLOOKUP(Table1[[#This Row],[Item_Handpump]],[1]!Table2[#All],11,FALSE),0)</f>
        <v>0</v>
      </c>
      <c r="BH26" s="25">
        <f>IF(Table1[[#This Row],[Adjusted_ULife_PF]]=8,VLOOKUP(Table1[[#This Row],[Item_Platform]],[1]!Table2[#All],11,FALSE),0)</f>
        <v>0</v>
      </c>
      <c r="BI26" s="25">
        <f>SUM(Table1[[#This Row],[yr 8_wl]:[yr 8_pf]])</f>
        <v>0</v>
      </c>
      <c r="BJ26" s="25">
        <f>IF(Table1[[#This Row],[Years_Next_Rehab_Well]]=9,VLOOKUP(Table1[[#This Row],[Item_Rehab_WL]],[1]!Table2[#All],12,FALSE),0)</f>
        <v>0</v>
      </c>
      <c r="BK26" s="25">
        <f>IF(Table1[[#This Row],[Adjusted_ULife_HP]]=9,VLOOKUP(Table1[[#This Row],[Item_Handpump]],[1]!Table2[#All],12,FALSE),0)</f>
        <v>0</v>
      </c>
      <c r="BL26" s="25">
        <f>IF(Table1[[#This Row],[Adjusted_ULife_PF]]=9,VLOOKUP(Table1[[#This Row],[Item_Platform]],[1]!Table2[#All],12,FALSE),0)</f>
        <v>0</v>
      </c>
      <c r="BM26" s="25">
        <f>SUM(Table1[[#This Row],[yr 9_wl]:[yr 9_pf]])</f>
        <v>0</v>
      </c>
      <c r="BN26" s="25">
        <f>IF(Table1[[#This Row],[Years_Next_Rehab_Well]]=10,VLOOKUP(Table1[[#This Row],[Item_Rehab_WL]],[1]!Table2[#All],13,FALSE),0)</f>
        <v>11388.110097262112</v>
      </c>
      <c r="BO26" s="25">
        <f>IF(Table1[[#This Row],[Adjusted_ULife_HP]]=10,VLOOKUP(Table1[[#This Row],[Item_Handpump]],[1]!Table2[#All],13,FALSE),0)</f>
        <v>0</v>
      </c>
      <c r="BP26" s="25">
        <f>IF(Table1[[#This Row],[Adjusted_ULife_PF]]=10,VLOOKUP(Table1[[#This Row],[Item_Platform]],[1]!Table2[#All],13,FALSE),0)</f>
        <v>4658.7723125163184</v>
      </c>
      <c r="BQ26" s="25">
        <f>SUM(Table1[[#This Row],[yr 10_wl]:[yr 10_pf]])</f>
        <v>16046.882409778431</v>
      </c>
      <c r="BR26" s="25">
        <f>IF(Table1[[#This Row],[Years_Next_Rehab_Well]]=11,VLOOKUP(Table1[[#This Row],[Item_Rehab_WL]],[1]!Table2[#All],14,FALSE),0)</f>
        <v>0</v>
      </c>
      <c r="BS26" s="25">
        <f>IF(Table1[[#This Row],[Adjusted_ULife_HP]]=11,VLOOKUP(Table1[[#This Row],[Item_Handpump]],[1]!Table2[#All],14,FALSE),0)</f>
        <v>0</v>
      </c>
      <c r="BT26" s="25">
        <f>IF(Table1[[#This Row],[Adjusted_ULife_PF]]=11,VLOOKUP(Table1[[#This Row],[Item_Platform]],[1]!Table2[#All],14,FALSE),0)</f>
        <v>0</v>
      </c>
      <c r="BU26" s="25">
        <f>SUM(Table1[[#This Row],[yr 11_wl]:[yr 11_pf]])</f>
        <v>0</v>
      </c>
      <c r="BV26" s="25">
        <f>IF(Table1[[#This Row],[Years_Next_Rehab_Well]]=12,VLOOKUP(Table1[[#This Row],[Item_Rehab_WL]],[1]!Table2[#All],15,FALSE),0)</f>
        <v>0</v>
      </c>
      <c r="BW26" s="25">
        <f>IF(Table1[[#This Row],[Adjusted_ULife_HP]]=12,VLOOKUP(Table1[[#This Row],[Item_Handpump]],[1]!Table2[#All],15,FALSE),0)</f>
        <v>0</v>
      </c>
      <c r="BX26" s="25">
        <f>IF(Table1[[#This Row],[Adjusted_ULife_PF]]=12,VLOOKUP(Table1[[#This Row],[Item_Platform]],[1]!Table2[#All],15,FALSE),0)</f>
        <v>0</v>
      </c>
      <c r="BY26" s="25">
        <f>SUM(Table1[[#This Row],[yr 12_wl]:[yr 12_pf]])</f>
        <v>0</v>
      </c>
      <c r="BZ26" s="25">
        <f>IF(Table1[[#This Row],[Years_Next_Rehab_Well]]=13,VLOOKUP(Table1[[#This Row],[Item_Rehab_WL]],[1]!Table2[#All],16,FALSE),0)</f>
        <v>0</v>
      </c>
      <c r="CA26" s="25">
        <f>IF(Table1[[#This Row],[Adjusted_ULife_HP]]=13,VLOOKUP(Table1[[#This Row],[Item_Handpump]],[1]!Table2[#All],16,FALSE),0)</f>
        <v>0</v>
      </c>
      <c r="CB26" s="25">
        <f>IF(Table1[[#This Row],[Adjusted_ULife_PF]]=13,VLOOKUP(Table1[[#This Row],[Item_Platform]],[1]!Table2[#All],16,FALSE),0)</f>
        <v>0</v>
      </c>
      <c r="CC26" s="25">
        <f>SUM(Table1[[#This Row],[yr 13_wl]:[yr 13_pf]])</f>
        <v>0</v>
      </c>
      <c r="CD26" s="12"/>
    </row>
    <row r="27" spans="1:82" s="11" customFormat="1" x14ac:dyDescent="0.25">
      <c r="A27" s="11" t="str">
        <f>IF([1]Input_monitoring_data!A23="","",[1]Input_monitoring_data!A23)</f>
        <v>3fft-kwec-s5fg</v>
      </c>
      <c r="B27" s="22" t="str">
        <f>[1]Input_monitoring_data!BH23</f>
        <v>Kenyasi No.2</v>
      </c>
      <c r="C27" s="22" t="str">
        <f>[1]Input_monitoring_data!BI23</f>
        <v>Byepass</v>
      </c>
      <c r="D27" s="22" t="str">
        <f>[1]Input_monitoring_data!P23</f>
        <v>6.9831622672806315</v>
      </c>
      <c r="E27" s="22" t="str">
        <f>[1]Input_monitoring_data!Q23</f>
        <v>-2.379594319496235</v>
      </c>
      <c r="F27" s="22" t="str">
        <f>[1]Input_monitoring_data!V23</f>
        <v>Behind District Assembly</v>
      </c>
      <c r="G27" s="23" t="str">
        <f>[1]Input_monitoring_data!U23</f>
        <v>Borehole</v>
      </c>
      <c r="H27" s="22">
        <f>[1]Input_monitoring_data!X23</f>
        <v>2012</v>
      </c>
      <c r="I27" s="21" t="str">
        <f>[1]Input_monitoring_data!AB23</f>
        <v>Borehole redevelopment</v>
      </c>
      <c r="J27" s="21">
        <f>[1]Input_monitoring_data!AC23</f>
        <v>0</v>
      </c>
      <c r="K27" s="23" t="str">
        <f>[1]Input_monitoring_data!W23</f>
        <v>AfriDev</v>
      </c>
      <c r="L27" s="22">
        <f>[1]Input_monitoring_data!X23</f>
        <v>2012</v>
      </c>
      <c r="M27" s="21">
        <f>IF([1]Input_monitoring_data!BL23&gt;'Point Sources_Asset_Register_'!L27,[1]Input_monitoring_data!BL23,"")</f>
        <v>2017</v>
      </c>
      <c r="N27" s="22" t="str">
        <f>[1]Input_monitoring_data!BQ23</f>
        <v>functional</v>
      </c>
      <c r="O27" s="22">
        <f>[1]Input_monitoring_data!AJ23</f>
        <v>0</v>
      </c>
      <c r="P27" s="23" t="s">
        <v>0</v>
      </c>
      <c r="Q27" s="22">
        <f>L27</f>
        <v>2012</v>
      </c>
      <c r="R27" s="21">
        <f>M27</f>
        <v>2017</v>
      </c>
      <c r="S27" s="20">
        <f>[1]Input_EUL_CRC_ERC!$B$17-Table1[[#This Row],[Year Installed_WL]]</f>
        <v>5</v>
      </c>
      <c r="T27" s="20">
        <f>[1]Input_EUL_CRC_ERC!$B$17-(IF(Table1[[#This Row],[Year Last_Rehab_WL ]]=0,Table1[[#This Row],[Year Installed_WL]],[1]Input_EUL_CRC_ERC!$B$17-Table1[[#This Row],[Year Last_Rehab_WL ]]))</f>
        <v>5</v>
      </c>
      <c r="U27" s="20">
        <f>(VLOOKUP(Table1[[#This Row],[Item_Rehab_WL]],[1]Input_EUL_CRC_ERC!$C$17:$E$27,2,FALSE)-Table1[[#This Row],[Last Rehab Age]])</f>
        <v>10</v>
      </c>
      <c r="V27" s="19">
        <f>[1]Input_EUL_CRC_ERC!$B$17-Table1[[#This Row],[Year Installed_HP]]</f>
        <v>5</v>
      </c>
      <c r="W27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27" s="19">
        <f>[1]Input_EUL_CRC_ERC!$B$17-Table1[[#This Row],[Year Installed_PF]]</f>
        <v>5</v>
      </c>
      <c r="Y27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27" s="25">
        <f>IF(Table1[[#This Row],[Years_Next_Rehab_Well]]&lt;=0,VLOOKUP(Table1[[#This Row],[Item_Rehab_WL]],[1]!Table2[#All],3,FALSE),0)</f>
        <v>0</v>
      </c>
      <c r="AA27" s="18">
        <f>IF(Table1[[#This Row],[Adjusted_ULife_HP]]&lt;=0,VLOOKUP(Table1[[#This Row],[Item_Handpump]],[1]!Table2[#All],3,FALSE),0)</f>
        <v>0</v>
      </c>
      <c r="AB27" s="18">
        <f>IF(Table1[[#This Row],[Adjusted_ULife_PF]]&lt;=0,VLOOKUP(Table1[[#This Row],[Item_Platform]],[1]!Table2[#All],3,FALSE),0)</f>
        <v>0</v>
      </c>
      <c r="AC27" s="18">
        <f>SUM(Table1[[#This Row],[current yr_wl]:[current yr_pf]])</f>
        <v>0</v>
      </c>
      <c r="AD27" s="25">
        <f>IF(Table1[[#This Row],[Years_Next_Rehab_Well]]=1,VLOOKUP(Table1[[#This Row],[Item_Rehab_WL]],[1]!Table2[#All],4,FALSE),0)</f>
        <v>0</v>
      </c>
      <c r="AE27" s="25">
        <f>IF(Table1[[#This Row],[Adjusted_ULife_HP]]=1,VLOOKUP(Table1[[#This Row],[Item_Handpump]],[1]!Table2[#All],4,FALSE),0)</f>
        <v>0</v>
      </c>
      <c r="AF27" s="25">
        <f>IF(Table1[[#This Row],[Adjusted_ULife_PF]]=1,VLOOKUP(Table1[[#This Row],[Item_Platform]],[1]!Table2[#All],4,FALSE),0)</f>
        <v>0</v>
      </c>
      <c r="AG27" s="25">
        <f>SUM(Table1[[#This Row],[yr 1_wl]:[yr 1_pf]])</f>
        <v>0</v>
      </c>
      <c r="AH27" s="25">
        <f>IF(Table1[[#This Row],[Years_Next_Rehab_Well]]=2,VLOOKUP(Table1[[#This Row],[Item_Rehab_WL]],[1]!Table2[#All],5,FALSE),0)</f>
        <v>0</v>
      </c>
      <c r="AI27" s="25">
        <f>IF(Table1[[#This Row],[Adjusted_ULife_HP]]=2,VLOOKUP(Table1[[#This Row],[Item_Handpump]],[1]!Table2[#All],5,FALSE),0)</f>
        <v>0</v>
      </c>
      <c r="AJ27" s="25">
        <f>IF(Table1[[#This Row],[Adjusted_ULife_PF]]=2,VLOOKUP(Table1[[#This Row],[Item_Platform]],[1]!Table2[#All],5,FALSE),0)</f>
        <v>0</v>
      </c>
      <c r="AK27" s="25">
        <f>SUM(Table1[[#This Row],[yr 2_wl]:[yr 2_pf]])</f>
        <v>0</v>
      </c>
      <c r="AL27" s="25">
        <f>IF(Table1[[#This Row],[Years_Next_Rehab_Well]]=3,VLOOKUP(Table1[[#This Row],[Item_Rehab_WL]],[1]!Table2[#All],6,FALSE),0)</f>
        <v>0</v>
      </c>
      <c r="AM27" s="25">
        <f>IF(Table1[[#This Row],[Adjusted_ULife_HP]]=3,VLOOKUP(Table1[[#This Row],[Item_Handpump]],[1]!Table2[#All],6,FALSE),0)</f>
        <v>0</v>
      </c>
      <c r="AN27" s="25">
        <f>IF(Table1[[#This Row],[Adjusted_ULife_PF]]=3,VLOOKUP(Table1[[#This Row],[Item_Platform]],[1]!Table2[#All],6,FALSE),0)</f>
        <v>0</v>
      </c>
      <c r="AO27" s="25">
        <f>SUM(Table1[[#This Row],[yr 3_wl]:[yr 3_pf]])</f>
        <v>0</v>
      </c>
      <c r="AP27" s="25">
        <f>IF(Table1[[#This Row],[Years_Next_Rehab_Well]]=4,VLOOKUP(Table1[[#This Row],[Item_Rehab_WL]],[1]!Table2[#All],7,FALSE),0)</f>
        <v>0</v>
      </c>
      <c r="AQ27" s="25">
        <f>IF(Table1[[#This Row],[Adjusted_ULife_HP]]=4,VLOOKUP(Table1[[#This Row],[Item_Handpump]],[1]!Table2[#All],7,FALSE),0)</f>
        <v>0</v>
      </c>
      <c r="AR27" s="25">
        <f>IF(Table1[[#This Row],[Adjusted_ULife_PF]]=4,VLOOKUP(Table1[[#This Row],[Item_Platform]],[1]!Table2[#All],7,FALSE),0)</f>
        <v>0</v>
      </c>
      <c r="AS27" s="25">
        <f>SUM(Table1[[#This Row],[yr 4_wl]:[yr 4_pf]])</f>
        <v>0</v>
      </c>
      <c r="AT27" s="25">
        <f>IF(Table1[[#This Row],[Years_Next_Rehab_Well]]=5,VLOOKUP(Table1[[#This Row],[Item_Rehab_WL]],[1]!Table2[#All],8,FALSE),0)</f>
        <v>0</v>
      </c>
      <c r="AU27" s="25">
        <f>IF(Table1[[#This Row],[Adjusted_ULife_HP]]=5,VLOOKUP(Table1[[#This Row],[Item_Handpump]],[1]!Table2[#All],8,FALSE),0)</f>
        <v>0</v>
      </c>
      <c r="AV27" s="25">
        <f>IF(Table1[[#This Row],[Adjusted_ULife_PF]]=5,VLOOKUP(Table1[[#This Row],[Item_Platform]],[1]!Table2[#All],8,FALSE),0)</f>
        <v>0</v>
      </c>
      <c r="AW27" s="25">
        <f>SUM(Table1[[#This Row],[yr 5_wl]:[yr 5_pf]])</f>
        <v>0</v>
      </c>
      <c r="AX27" s="25">
        <f>IF(Table1[[#This Row],[Years_Next_Rehab_Well]]=6,VLOOKUP(Table1[[#This Row],[Item_Rehab_WL]],[1]!Table2[#All],9,FALSE),0)</f>
        <v>0</v>
      </c>
      <c r="AY27" s="25">
        <f>IF(Table1[[#This Row],[Adjusted_ULife_HP]]=6,VLOOKUP(Table1[[#This Row],[Item_Handpump]],[1]!Table2[#All],9,FALSE),0)</f>
        <v>0</v>
      </c>
      <c r="AZ27" s="25">
        <f>IF(Table1[[#This Row],[Adjusted_ULife_PF]]=6,VLOOKUP(Table1[[#This Row],[Item_Platform]],[1]!Table2[#All],9,FALSE),0)</f>
        <v>0</v>
      </c>
      <c r="BA27" s="25">
        <f>SUM(Table1[[#This Row],[yr 6_wl]:[yr 6_pf]])</f>
        <v>0</v>
      </c>
      <c r="BB27" s="25">
        <f>IF(Table1[[#This Row],[Years_Next_Rehab_Well]]=7,VLOOKUP(Table1[[#This Row],[Item_Rehab_WL]],[1]!Table2[#All],10,FALSE),0)</f>
        <v>0</v>
      </c>
      <c r="BC27" s="25">
        <f>IF(Table1[[#This Row],[Adjusted_ULife_HP]]=7,VLOOKUP(Table1[[#This Row],[Item_Handpump]],[1]!Table2[#All],10,FALSE),0)</f>
        <v>0</v>
      </c>
      <c r="BD27" s="25">
        <f>IF(Table1[[#This Row],[Adjusted_ULife_PF]]=7,VLOOKUP(Table1[[#This Row],[Item_Platform]],[1]!Table2[#All],10,FALSE),0)</f>
        <v>0</v>
      </c>
      <c r="BE27" s="25">
        <f>SUM(Table1[[#This Row],[yr 7_wl]:[yr 7_pf]])</f>
        <v>0</v>
      </c>
      <c r="BF27" s="25">
        <f>IF(Table1[[#This Row],[Years_Next_Rehab_Well]]=8,VLOOKUP(Table1[[#This Row],[Item_Rehab_WL]],[1]!Table2[#All],11,FALSE),0)</f>
        <v>0</v>
      </c>
      <c r="BG27" s="25">
        <f>IF(Table1[[#This Row],[Adjusted_ULife_HP]]=8,VLOOKUP(Table1[[#This Row],[Item_Handpump]],[1]!Table2[#All],11,FALSE),0)</f>
        <v>0</v>
      </c>
      <c r="BH27" s="25">
        <f>IF(Table1[[#This Row],[Adjusted_ULife_PF]]=8,VLOOKUP(Table1[[#This Row],[Item_Platform]],[1]!Table2[#All],11,FALSE),0)</f>
        <v>0</v>
      </c>
      <c r="BI27" s="25">
        <f>SUM(Table1[[#This Row],[yr 8_wl]:[yr 8_pf]])</f>
        <v>0</v>
      </c>
      <c r="BJ27" s="25">
        <f>IF(Table1[[#This Row],[Years_Next_Rehab_Well]]=9,VLOOKUP(Table1[[#This Row],[Item_Rehab_WL]],[1]!Table2[#All],12,FALSE),0)</f>
        <v>0</v>
      </c>
      <c r="BK27" s="25">
        <f>IF(Table1[[#This Row],[Adjusted_ULife_HP]]=9,VLOOKUP(Table1[[#This Row],[Item_Handpump]],[1]!Table2[#All],12,FALSE),0)</f>
        <v>0</v>
      </c>
      <c r="BL27" s="25">
        <f>IF(Table1[[#This Row],[Adjusted_ULife_PF]]=9,VLOOKUP(Table1[[#This Row],[Item_Platform]],[1]!Table2[#All],12,FALSE),0)</f>
        <v>0</v>
      </c>
      <c r="BM27" s="25">
        <f>SUM(Table1[[#This Row],[yr 9_wl]:[yr 9_pf]])</f>
        <v>0</v>
      </c>
      <c r="BN27" s="25">
        <f>IF(Table1[[#This Row],[Years_Next_Rehab_Well]]=10,VLOOKUP(Table1[[#This Row],[Item_Rehab_WL]],[1]!Table2[#All],13,FALSE),0)</f>
        <v>11388.110097262112</v>
      </c>
      <c r="BO27" s="25">
        <f>IF(Table1[[#This Row],[Adjusted_ULife_HP]]=10,VLOOKUP(Table1[[#This Row],[Item_Handpump]],[1]!Table2[#All],13,FALSE),0)</f>
        <v>0</v>
      </c>
      <c r="BP27" s="25">
        <f>IF(Table1[[#This Row],[Adjusted_ULife_PF]]=10,VLOOKUP(Table1[[#This Row],[Item_Platform]],[1]!Table2[#All],13,FALSE),0)</f>
        <v>4658.7723125163184</v>
      </c>
      <c r="BQ27" s="25">
        <f>SUM(Table1[[#This Row],[yr 10_wl]:[yr 10_pf]])</f>
        <v>16046.882409778431</v>
      </c>
      <c r="BR27" s="25">
        <f>IF(Table1[[#This Row],[Years_Next_Rehab_Well]]=11,VLOOKUP(Table1[[#This Row],[Item_Rehab_WL]],[1]!Table2[#All],14,FALSE),0)</f>
        <v>0</v>
      </c>
      <c r="BS27" s="25">
        <f>IF(Table1[[#This Row],[Adjusted_ULife_HP]]=11,VLOOKUP(Table1[[#This Row],[Item_Handpump]],[1]!Table2[#All],14,FALSE),0)</f>
        <v>0</v>
      </c>
      <c r="BT27" s="25">
        <f>IF(Table1[[#This Row],[Adjusted_ULife_PF]]=11,VLOOKUP(Table1[[#This Row],[Item_Platform]],[1]!Table2[#All],14,FALSE),0)</f>
        <v>0</v>
      </c>
      <c r="BU27" s="25">
        <f>SUM(Table1[[#This Row],[yr 11_wl]:[yr 11_pf]])</f>
        <v>0</v>
      </c>
      <c r="BV27" s="25">
        <f>IF(Table1[[#This Row],[Years_Next_Rehab_Well]]=12,VLOOKUP(Table1[[#This Row],[Item_Rehab_WL]],[1]!Table2[#All],15,FALSE),0)</f>
        <v>0</v>
      </c>
      <c r="BW27" s="25">
        <f>IF(Table1[[#This Row],[Adjusted_ULife_HP]]=12,VLOOKUP(Table1[[#This Row],[Item_Handpump]],[1]!Table2[#All],15,FALSE),0)</f>
        <v>0</v>
      </c>
      <c r="BX27" s="25">
        <f>IF(Table1[[#This Row],[Adjusted_ULife_PF]]=12,VLOOKUP(Table1[[#This Row],[Item_Platform]],[1]!Table2[#All],15,FALSE),0)</f>
        <v>0</v>
      </c>
      <c r="BY27" s="25">
        <f>SUM(Table1[[#This Row],[yr 12_wl]:[yr 12_pf]])</f>
        <v>0</v>
      </c>
      <c r="BZ27" s="25">
        <f>IF(Table1[[#This Row],[Years_Next_Rehab_Well]]=13,VLOOKUP(Table1[[#This Row],[Item_Rehab_WL]],[1]!Table2[#All],16,FALSE),0)</f>
        <v>0</v>
      </c>
      <c r="CA27" s="25">
        <f>IF(Table1[[#This Row],[Adjusted_ULife_HP]]=13,VLOOKUP(Table1[[#This Row],[Item_Handpump]],[1]!Table2[#All],16,FALSE),0)</f>
        <v>0</v>
      </c>
      <c r="CB27" s="25">
        <f>IF(Table1[[#This Row],[Adjusted_ULife_PF]]=13,VLOOKUP(Table1[[#This Row],[Item_Platform]],[1]!Table2[#All],16,FALSE),0)</f>
        <v>0</v>
      </c>
      <c r="CC27" s="25">
        <f>SUM(Table1[[#This Row],[yr 13_wl]:[yr 13_pf]])</f>
        <v>0</v>
      </c>
      <c r="CD27" s="12"/>
    </row>
    <row r="28" spans="1:82" s="11" customFormat="1" x14ac:dyDescent="0.25">
      <c r="A28" s="11" t="str">
        <f>IF([1]Input_monitoring_data!A24="","",[1]Input_monitoring_data!A24)</f>
        <v>3tym-r00e-a0px</v>
      </c>
      <c r="B28" s="22" t="str">
        <f>[1]Input_monitoring_data!BH24</f>
        <v>Goamu</v>
      </c>
      <c r="C28" s="22" t="str">
        <f>[1]Input_monitoring_data!BI24</f>
        <v>Gotifi</v>
      </c>
      <c r="D28" s="22" t="str">
        <f>[1]Input_monitoring_data!P24</f>
        <v>7.03201141086173</v>
      </c>
      <c r="E28" s="22" t="str">
        <f>[1]Input_monitoring_data!Q24</f>
        <v>-2.5137009184828987</v>
      </c>
      <c r="F28" s="22" t="str">
        <f>[1]Input_monitoring_data!V24</f>
        <v>School Premises</v>
      </c>
      <c r="G28" s="23" t="str">
        <f>[1]Input_monitoring_data!U24</f>
        <v>Borehole</v>
      </c>
      <c r="H28" s="22">
        <f>[1]Input_monitoring_data!X24</f>
        <v>2008</v>
      </c>
      <c r="I28" s="21" t="str">
        <f>[1]Input_monitoring_data!AB24</f>
        <v>Borehole redevelopment</v>
      </c>
      <c r="J28" s="21">
        <f>[1]Input_monitoring_data!AC24</f>
        <v>0</v>
      </c>
      <c r="K28" s="23" t="str">
        <f>[1]Input_monitoring_data!W24</f>
        <v>AfriDev</v>
      </c>
      <c r="L28" s="22">
        <f>[1]Input_monitoring_data!X24</f>
        <v>2008</v>
      </c>
      <c r="M28" s="21" t="str">
        <f>IF([1]Input_monitoring_data!BL24&gt;'Point Sources_Asset_Register_'!L28,[1]Input_monitoring_data!BL24,"")</f>
        <v/>
      </c>
      <c r="N28" s="22" t="str">
        <f>[1]Input_monitoring_data!BQ24</f>
        <v>functional</v>
      </c>
      <c r="O28" s="22">
        <f>[1]Input_monitoring_data!AJ24</f>
        <v>0</v>
      </c>
      <c r="P28" s="23" t="s">
        <v>0</v>
      </c>
      <c r="Q28" s="22">
        <f>L28</f>
        <v>2008</v>
      </c>
      <c r="R28" s="21" t="str">
        <f>M28</f>
        <v/>
      </c>
      <c r="S28" s="20">
        <f>[1]Input_EUL_CRC_ERC!$B$17-Table1[[#This Row],[Year Installed_WL]]</f>
        <v>9</v>
      </c>
      <c r="T28" s="20">
        <f>[1]Input_EUL_CRC_ERC!$B$17-(IF(Table1[[#This Row],[Year Last_Rehab_WL ]]=0,Table1[[#This Row],[Year Installed_WL]],[1]Input_EUL_CRC_ERC!$B$17-Table1[[#This Row],[Year Last_Rehab_WL ]]))</f>
        <v>9</v>
      </c>
      <c r="U28" s="20">
        <f>(VLOOKUP(Table1[[#This Row],[Item_Rehab_WL]],[1]Input_EUL_CRC_ERC!$C$17:$E$27,2,FALSE)-Table1[[#This Row],[Last Rehab Age]])</f>
        <v>6</v>
      </c>
      <c r="V28" s="19">
        <f>[1]Input_EUL_CRC_ERC!$B$17-Table1[[#This Row],[Year Installed_HP]]</f>
        <v>9</v>
      </c>
      <c r="W28" s="19">
        <f>(VLOOKUP(Table1[[#This Row],[Item_Handpump]],[1]!Table2[#All],2,FALSE))-(IF(Table1[[#This Row],[Year Last_Rehab_HP]]="",Table1[[#This Row],[Current Age_Handpump]],[1]Input_EUL_CRC_ERC!$B$17-Table1[[#This Row],[Year Last_Rehab_HP]]))</f>
        <v>11</v>
      </c>
      <c r="X28" s="19">
        <f>[1]Input_EUL_CRC_ERC!$B$17-Table1[[#This Row],[Year Installed_PF]]</f>
        <v>9</v>
      </c>
      <c r="Y28" s="19">
        <f>(VLOOKUP(Table1[[#This Row],[Item_Platform]],[1]!Table2[#All],2,FALSE))-(IF(Table1[[#This Row],[Year Last_Rehab_PF]]="",Table1[[#This Row],[Current Age_Platform]],[1]Input_EUL_CRC_ERC!$B$17-Table1[[#This Row],[Year Last_Rehab_PF]]))</f>
        <v>1</v>
      </c>
      <c r="Z28" s="25">
        <f>IF(Table1[[#This Row],[Years_Next_Rehab_Well]]&lt;=0,VLOOKUP(Table1[[#This Row],[Item_Rehab_WL]],[1]!Table2[#All],3,FALSE),0)</f>
        <v>0</v>
      </c>
      <c r="AA28" s="18">
        <f>IF(Table1[[#This Row],[Adjusted_ULife_HP]]&lt;=0,VLOOKUP(Table1[[#This Row],[Item_Handpump]],[1]!Table2[#All],3,FALSE),0)</f>
        <v>0</v>
      </c>
      <c r="AB28" s="18">
        <f>IF(Table1[[#This Row],[Adjusted_ULife_PF]]&lt;=0,VLOOKUP(Table1[[#This Row],[Item_Platform]],[1]!Table2[#All],3,FALSE),0)</f>
        <v>0</v>
      </c>
      <c r="AC28" s="18">
        <f>SUM(Table1[[#This Row],[current yr_wl]:[current yr_pf]])</f>
        <v>0</v>
      </c>
      <c r="AD28" s="25">
        <f>IF(Table1[[#This Row],[Years_Next_Rehab_Well]]=1,VLOOKUP(Table1[[#This Row],[Item_Rehab_WL]],[1]!Table2[#All],4,FALSE),0)</f>
        <v>0</v>
      </c>
      <c r="AE28" s="25">
        <f>IF(Table1[[#This Row],[Adjusted_ULife_HP]]=1,VLOOKUP(Table1[[#This Row],[Item_Handpump]],[1]!Table2[#All],4,FALSE),0)</f>
        <v>0</v>
      </c>
      <c r="AF28" s="25">
        <f>IF(Table1[[#This Row],[Adjusted_ULife_PF]]=1,VLOOKUP(Table1[[#This Row],[Item_Platform]],[1]!Table2[#All],4,FALSE),0)</f>
        <v>1680.0000000000002</v>
      </c>
      <c r="AG28" s="25">
        <f>SUM(Table1[[#This Row],[yr 1_wl]:[yr 1_pf]])</f>
        <v>1680.0000000000002</v>
      </c>
      <c r="AH28" s="25">
        <f>IF(Table1[[#This Row],[Years_Next_Rehab_Well]]=2,VLOOKUP(Table1[[#This Row],[Item_Rehab_WL]],[1]!Table2[#All],5,FALSE),0)</f>
        <v>0</v>
      </c>
      <c r="AI28" s="25">
        <f>IF(Table1[[#This Row],[Adjusted_ULife_HP]]=2,VLOOKUP(Table1[[#This Row],[Item_Handpump]],[1]!Table2[#All],5,FALSE),0)</f>
        <v>0</v>
      </c>
      <c r="AJ28" s="25">
        <f>IF(Table1[[#This Row],[Adjusted_ULife_PF]]=2,VLOOKUP(Table1[[#This Row],[Item_Platform]],[1]!Table2[#All],5,FALSE),0)</f>
        <v>0</v>
      </c>
      <c r="AK28" s="25">
        <f>SUM(Table1[[#This Row],[yr 2_wl]:[yr 2_pf]])</f>
        <v>0</v>
      </c>
      <c r="AL28" s="25">
        <f>IF(Table1[[#This Row],[Years_Next_Rehab_Well]]=3,VLOOKUP(Table1[[#This Row],[Item_Rehab_WL]],[1]!Table2[#All],6,FALSE),0)</f>
        <v>0</v>
      </c>
      <c r="AM28" s="25">
        <f>IF(Table1[[#This Row],[Adjusted_ULife_HP]]=3,VLOOKUP(Table1[[#This Row],[Item_Handpump]],[1]!Table2[#All],6,FALSE),0)</f>
        <v>0</v>
      </c>
      <c r="AN28" s="25">
        <f>IF(Table1[[#This Row],[Adjusted_ULife_PF]]=3,VLOOKUP(Table1[[#This Row],[Item_Platform]],[1]!Table2[#All],6,FALSE),0)</f>
        <v>0</v>
      </c>
      <c r="AO28" s="25">
        <f>SUM(Table1[[#This Row],[yr 3_wl]:[yr 3_pf]])</f>
        <v>0</v>
      </c>
      <c r="AP28" s="25">
        <f>IF(Table1[[#This Row],[Years_Next_Rehab_Well]]=4,VLOOKUP(Table1[[#This Row],[Item_Rehab_WL]],[1]!Table2[#All],7,FALSE),0)</f>
        <v>0</v>
      </c>
      <c r="AQ28" s="25">
        <f>IF(Table1[[#This Row],[Adjusted_ULife_HP]]=4,VLOOKUP(Table1[[#This Row],[Item_Handpump]],[1]!Table2[#All],7,FALSE),0)</f>
        <v>0</v>
      </c>
      <c r="AR28" s="25">
        <f>IF(Table1[[#This Row],[Adjusted_ULife_PF]]=4,VLOOKUP(Table1[[#This Row],[Item_Platform]],[1]!Table2[#All],7,FALSE),0)</f>
        <v>0</v>
      </c>
      <c r="AS28" s="25">
        <f>SUM(Table1[[#This Row],[yr 4_wl]:[yr 4_pf]])</f>
        <v>0</v>
      </c>
      <c r="AT28" s="25">
        <f>IF(Table1[[#This Row],[Years_Next_Rehab_Well]]=5,VLOOKUP(Table1[[#This Row],[Item_Rehab_WL]],[1]!Table2[#All],8,FALSE),0)</f>
        <v>0</v>
      </c>
      <c r="AU28" s="25">
        <f>IF(Table1[[#This Row],[Adjusted_ULife_HP]]=5,VLOOKUP(Table1[[#This Row],[Item_Handpump]],[1]!Table2[#All],8,FALSE),0)</f>
        <v>0</v>
      </c>
      <c r="AV28" s="25">
        <f>IF(Table1[[#This Row],[Adjusted_ULife_PF]]=5,VLOOKUP(Table1[[#This Row],[Item_Platform]],[1]!Table2[#All],8,FALSE),0)</f>
        <v>0</v>
      </c>
      <c r="AW28" s="25">
        <f>SUM(Table1[[#This Row],[yr 5_wl]:[yr 5_pf]])</f>
        <v>0</v>
      </c>
      <c r="AX28" s="25">
        <f>IF(Table1[[#This Row],[Years_Next_Rehab_Well]]=6,VLOOKUP(Table1[[#This Row],[Item_Rehab_WL]],[1]!Table2[#All],9,FALSE),0)</f>
        <v>7237.3498456746702</v>
      </c>
      <c r="AY28" s="25">
        <f>IF(Table1[[#This Row],[Adjusted_ULife_HP]]=6,VLOOKUP(Table1[[#This Row],[Item_Handpump]],[1]!Table2[#All],9,FALSE),0)</f>
        <v>0</v>
      </c>
      <c r="AZ28" s="25">
        <f>IF(Table1[[#This Row],[Adjusted_ULife_PF]]=6,VLOOKUP(Table1[[#This Row],[Item_Platform]],[1]!Table2[#All],9,FALSE),0)</f>
        <v>0</v>
      </c>
      <c r="BA28" s="25">
        <f>SUM(Table1[[#This Row],[yr 6_wl]:[yr 6_pf]])</f>
        <v>7237.3498456746702</v>
      </c>
      <c r="BB28" s="25">
        <f>IF(Table1[[#This Row],[Years_Next_Rehab_Well]]=7,VLOOKUP(Table1[[#This Row],[Item_Rehab_WL]],[1]!Table2[#All],10,FALSE),0)</f>
        <v>0</v>
      </c>
      <c r="BC28" s="25">
        <f>IF(Table1[[#This Row],[Adjusted_ULife_HP]]=7,VLOOKUP(Table1[[#This Row],[Item_Handpump]],[1]!Table2[#All],10,FALSE),0)</f>
        <v>0</v>
      </c>
      <c r="BD28" s="25">
        <f>IF(Table1[[#This Row],[Adjusted_ULife_PF]]=7,VLOOKUP(Table1[[#This Row],[Item_Platform]],[1]!Table2[#All],10,FALSE),0)</f>
        <v>0</v>
      </c>
      <c r="BE28" s="25">
        <f>SUM(Table1[[#This Row],[yr 7_wl]:[yr 7_pf]])</f>
        <v>0</v>
      </c>
      <c r="BF28" s="25">
        <f>IF(Table1[[#This Row],[Years_Next_Rehab_Well]]=8,VLOOKUP(Table1[[#This Row],[Item_Rehab_WL]],[1]!Table2[#All],11,FALSE),0)</f>
        <v>0</v>
      </c>
      <c r="BG28" s="25">
        <f>IF(Table1[[#This Row],[Adjusted_ULife_HP]]=8,VLOOKUP(Table1[[#This Row],[Item_Handpump]],[1]!Table2[#All],11,FALSE),0)</f>
        <v>0</v>
      </c>
      <c r="BH28" s="25">
        <f>IF(Table1[[#This Row],[Adjusted_ULife_PF]]=8,VLOOKUP(Table1[[#This Row],[Item_Platform]],[1]!Table2[#All],11,FALSE),0)</f>
        <v>0</v>
      </c>
      <c r="BI28" s="25">
        <f>SUM(Table1[[#This Row],[yr 8_wl]:[yr 8_pf]])</f>
        <v>0</v>
      </c>
      <c r="BJ28" s="25">
        <f>IF(Table1[[#This Row],[Years_Next_Rehab_Well]]=9,VLOOKUP(Table1[[#This Row],[Item_Rehab_WL]],[1]!Table2[#All],12,FALSE),0)</f>
        <v>0</v>
      </c>
      <c r="BK28" s="25">
        <f>IF(Table1[[#This Row],[Adjusted_ULife_HP]]=9,VLOOKUP(Table1[[#This Row],[Item_Handpump]],[1]!Table2[#All],12,FALSE),0)</f>
        <v>0</v>
      </c>
      <c r="BL28" s="25">
        <f>IF(Table1[[#This Row],[Adjusted_ULife_PF]]=9,VLOOKUP(Table1[[#This Row],[Item_Platform]],[1]!Table2[#All],12,FALSE),0)</f>
        <v>0</v>
      </c>
      <c r="BM28" s="25">
        <f>SUM(Table1[[#This Row],[yr 9_wl]:[yr 9_pf]])</f>
        <v>0</v>
      </c>
      <c r="BN28" s="25">
        <f>IF(Table1[[#This Row],[Years_Next_Rehab_Well]]=10,VLOOKUP(Table1[[#This Row],[Item_Rehab_WL]],[1]!Table2[#All],13,FALSE),0)</f>
        <v>0</v>
      </c>
      <c r="BO28" s="25">
        <f>IF(Table1[[#This Row],[Adjusted_ULife_HP]]=10,VLOOKUP(Table1[[#This Row],[Item_Handpump]],[1]!Table2[#All],13,FALSE),0)</f>
        <v>0</v>
      </c>
      <c r="BP28" s="25">
        <f>IF(Table1[[#This Row],[Adjusted_ULife_PF]]=10,VLOOKUP(Table1[[#This Row],[Item_Platform]],[1]!Table2[#All],13,FALSE),0)</f>
        <v>0</v>
      </c>
      <c r="BQ28" s="25">
        <f>SUM(Table1[[#This Row],[yr 10_wl]:[yr 10_pf]])</f>
        <v>0</v>
      </c>
      <c r="BR28" s="25">
        <f>IF(Table1[[#This Row],[Years_Next_Rehab_Well]]=11,VLOOKUP(Table1[[#This Row],[Item_Rehab_WL]],[1]!Table2[#All],14,FALSE),0)</f>
        <v>0</v>
      </c>
      <c r="BS28" s="25">
        <f>IF(Table1[[#This Row],[Adjusted_ULife_HP]]=11,VLOOKUP(Table1[[#This Row],[Item_Handpump]],[1]!Table2[#All],14,FALSE),0)</f>
        <v>1391.4199973382069</v>
      </c>
      <c r="BT28" s="25">
        <f>IF(Table1[[#This Row],[Adjusted_ULife_PF]]=11,VLOOKUP(Table1[[#This Row],[Item_Platform]],[1]!Table2[#All],14,FALSE),0)</f>
        <v>0</v>
      </c>
      <c r="BU28" s="25">
        <f>SUM(Table1[[#This Row],[yr 11_wl]:[yr 11_pf]])</f>
        <v>1391.4199973382069</v>
      </c>
      <c r="BV28" s="25">
        <f>IF(Table1[[#This Row],[Years_Next_Rehab_Well]]=12,VLOOKUP(Table1[[#This Row],[Item_Rehab_WL]],[1]!Table2[#All],15,FALSE),0)</f>
        <v>0</v>
      </c>
      <c r="BW28" s="25">
        <f>IF(Table1[[#This Row],[Adjusted_ULife_HP]]=12,VLOOKUP(Table1[[#This Row],[Item_Handpump]],[1]!Table2[#All],15,FALSE),0)</f>
        <v>0</v>
      </c>
      <c r="BX28" s="25">
        <f>IF(Table1[[#This Row],[Adjusted_ULife_PF]]=12,VLOOKUP(Table1[[#This Row],[Item_Platform]],[1]!Table2[#All],15,FALSE),0)</f>
        <v>0</v>
      </c>
      <c r="BY28" s="25">
        <f>SUM(Table1[[#This Row],[yr 12_wl]:[yr 12_pf]])</f>
        <v>0</v>
      </c>
      <c r="BZ28" s="25">
        <f>IF(Table1[[#This Row],[Years_Next_Rehab_Well]]=13,VLOOKUP(Table1[[#This Row],[Item_Rehab_WL]],[1]!Table2[#All],16,FALSE),0)</f>
        <v>0</v>
      </c>
      <c r="CA28" s="25">
        <f>IF(Table1[[#This Row],[Adjusted_ULife_HP]]=13,VLOOKUP(Table1[[#This Row],[Item_Handpump]],[1]!Table2[#All],16,FALSE),0)</f>
        <v>0</v>
      </c>
      <c r="CB28" s="25">
        <f>IF(Table1[[#This Row],[Adjusted_ULife_PF]]=13,VLOOKUP(Table1[[#This Row],[Item_Platform]],[1]!Table2[#All],16,FALSE),0)</f>
        <v>0</v>
      </c>
      <c r="CC28" s="25">
        <f>SUM(Table1[[#This Row],[yr 13_wl]:[yr 13_pf]])</f>
        <v>0</v>
      </c>
      <c r="CD28" s="12"/>
    </row>
    <row r="29" spans="1:82" s="11" customFormat="1" x14ac:dyDescent="0.25">
      <c r="A29" s="11" t="str">
        <f>IF([1]Input_monitoring_data!A25="","",[1]Input_monitoring_data!A25)</f>
        <v>3vcy-nx2h-uu4f</v>
      </c>
      <c r="B29" s="22" t="str">
        <f>[1]Input_monitoring_data!BH25</f>
        <v>Goamu</v>
      </c>
      <c r="C29" s="22" t="str">
        <f>[1]Input_monitoring_data!BI25</f>
        <v>Adu Kwadwo</v>
      </c>
      <c r="D29" s="22" t="str">
        <f>[1]Input_monitoring_data!P25</f>
        <v>6.981644314567038</v>
      </c>
      <c r="E29" s="22" t="str">
        <f>[1]Input_monitoring_data!Q25</f>
        <v>-2.5162457245453047</v>
      </c>
      <c r="F29" s="22" t="str">
        <f>[1]Input_monitoring_data!V25</f>
        <v>Behind The Cocoa Shed</v>
      </c>
      <c r="G29" s="23" t="str">
        <f>[1]Input_monitoring_data!U25</f>
        <v>Borehole</v>
      </c>
      <c r="H29" s="22">
        <f>[1]Input_monitoring_data!X25</f>
        <v>2013</v>
      </c>
      <c r="I29" s="21" t="str">
        <f>[1]Input_monitoring_data!AB25</f>
        <v>Borehole redevelopment</v>
      </c>
      <c r="J29" s="21">
        <f>[1]Input_monitoring_data!AC25</f>
        <v>0</v>
      </c>
      <c r="K29" s="23" t="str">
        <f>[1]Input_monitoring_data!W25</f>
        <v>AfriDev</v>
      </c>
      <c r="L29" s="22">
        <f>[1]Input_monitoring_data!X25</f>
        <v>2013</v>
      </c>
      <c r="M29" s="21" t="str">
        <f>IF([1]Input_monitoring_data!BL25&gt;'Point Sources_Asset_Register_'!L29,[1]Input_monitoring_data!BL25,"")</f>
        <v/>
      </c>
      <c r="N29" s="22" t="str">
        <f>[1]Input_monitoring_data!BQ25</f>
        <v>functional</v>
      </c>
      <c r="O29" s="22">
        <f>[1]Input_monitoring_data!AJ25</f>
        <v>0</v>
      </c>
      <c r="P29" s="23" t="s">
        <v>0</v>
      </c>
      <c r="Q29" s="22">
        <f>L29</f>
        <v>2013</v>
      </c>
      <c r="R29" s="21" t="str">
        <f>M29</f>
        <v/>
      </c>
      <c r="S29" s="20">
        <f>[1]Input_EUL_CRC_ERC!$B$17-Table1[[#This Row],[Year Installed_WL]]</f>
        <v>4</v>
      </c>
      <c r="T29" s="20">
        <f>[1]Input_EUL_CRC_ERC!$B$17-(IF(Table1[[#This Row],[Year Last_Rehab_WL ]]=0,Table1[[#This Row],[Year Installed_WL]],[1]Input_EUL_CRC_ERC!$B$17-Table1[[#This Row],[Year Last_Rehab_WL ]]))</f>
        <v>4</v>
      </c>
      <c r="U29" s="20">
        <f>(VLOOKUP(Table1[[#This Row],[Item_Rehab_WL]],[1]Input_EUL_CRC_ERC!$C$17:$E$27,2,FALSE)-Table1[[#This Row],[Last Rehab Age]])</f>
        <v>11</v>
      </c>
      <c r="V29" s="19">
        <f>[1]Input_EUL_CRC_ERC!$B$17-Table1[[#This Row],[Year Installed_HP]]</f>
        <v>4</v>
      </c>
      <c r="W29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29" s="19">
        <f>[1]Input_EUL_CRC_ERC!$B$17-Table1[[#This Row],[Year Installed_PF]]</f>
        <v>4</v>
      </c>
      <c r="Y29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29" s="25">
        <f>IF(Table1[[#This Row],[Years_Next_Rehab_Well]]&lt;=0,VLOOKUP(Table1[[#This Row],[Item_Rehab_WL]],[1]!Table2[#All],3,FALSE),0)</f>
        <v>0</v>
      </c>
      <c r="AA29" s="18">
        <f>IF(Table1[[#This Row],[Adjusted_ULife_HP]]&lt;=0,VLOOKUP(Table1[[#This Row],[Item_Handpump]],[1]!Table2[#All],3,FALSE),0)</f>
        <v>0</v>
      </c>
      <c r="AB29" s="18">
        <f>IF(Table1[[#This Row],[Adjusted_ULife_PF]]&lt;=0,VLOOKUP(Table1[[#This Row],[Item_Platform]],[1]!Table2[#All],3,FALSE),0)</f>
        <v>0</v>
      </c>
      <c r="AC29" s="18">
        <f>SUM(Table1[[#This Row],[current yr_wl]:[current yr_pf]])</f>
        <v>0</v>
      </c>
      <c r="AD29" s="25">
        <f>IF(Table1[[#This Row],[Years_Next_Rehab_Well]]=1,VLOOKUP(Table1[[#This Row],[Item_Rehab_WL]],[1]!Table2[#All],4,FALSE),0)</f>
        <v>0</v>
      </c>
      <c r="AE29" s="25">
        <f>IF(Table1[[#This Row],[Adjusted_ULife_HP]]=1,VLOOKUP(Table1[[#This Row],[Item_Handpump]],[1]!Table2[#All],4,FALSE),0)</f>
        <v>0</v>
      </c>
      <c r="AF29" s="25">
        <f>IF(Table1[[#This Row],[Adjusted_ULife_PF]]=1,VLOOKUP(Table1[[#This Row],[Item_Platform]],[1]!Table2[#All],4,FALSE),0)</f>
        <v>0</v>
      </c>
      <c r="AG29" s="25">
        <f>SUM(Table1[[#This Row],[yr 1_wl]:[yr 1_pf]])</f>
        <v>0</v>
      </c>
      <c r="AH29" s="25">
        <f>IF(Table1[[#This Row],[Years_Next_Rehab_Well]]=2,VLOOKUP(Table1[[#This Row],[Item_Rehab_WL]],[1]!Table2[#All],5,FALSE),0)</f>
        <v>0</v>
      </c>
      <c r="AI29" s="25">
        <f>IF(Table1[[#This Row],[Adjusted_ULife_HP]]=2,VLOOKUP(Table1[[#This Row],[Item_Handpump]],[1]!Table2[#All],5,FALSE),0)</f>
        <v>0</v>
      </c>
      <c r="AJ29" s="25">
        <f>IF(Table1[[#This Row],[Adjusted_ULife_PF]]=2,VLOOKUP(Table1[[#This Row],[Item_Platform]],[1]!Table2[#All],5,FALSE),0)</f>
        <v>0</v>
      </c>
      <c r="AK29" s="25">
        <f>SUM(Table1[[#This Row],[yr 2_wl]:[yr 2_pf]])</f>
        <v>0</v>
      </c>
      <c r="AL29" s="25">
        <f>IF(Table1[[#This Row],[Years_Next_Rehab_Well]]=3,VLOOKUP(Table1[[#This Row],[Item_Rehab_WL]],[1]!Table2[#All],6,FALSE),0)</f>
        <v>0</v>
      </c>
      <c r="AM29" s="25">
        <f>IF(Table1[[#This Row],[Adjusted_ULife_HP]]=3,VLOOKUP(Table1[[#This Row],[Item_Handpump]],[1]!Table2[#All],6,FALSE),0)</f>
        <v>0</v>
      </c>
      <c r="AN29" s="25">
        <f>IF(Table1[[#This Row],[Adjusted_ULife_PF]]=3,VLOOKUP(Table1[[#This Row],[Item_Platform]],[1]!Table2[#All],6,FALSE),0)</f>
        <v>0</v>
      </c>
      <c r="AO29" s="25">
        <f>SUM(Table1[[#This Row],[yr 3_wl]:[yr 3_pf]])</f>
        <v>0</v>
      </c>
      <c r="AP29" s="25">
        <f>IF(Table1[[#This Row],[Years_Next_Rehab_Well]]=4,VLOOKUP(Table1[[#This Row],[Item_Rehab_WL]],[1]!Table2[#All],7,FALSE),0)</f>
        <v>0</v>
      </c>
      <c r="AQ29" s="25">
        <f>IF(Table1[[#This Row],[Adjusted_ULife_HP]]=4,VLOOKUP(Table1[[#This Row],[Item_Handpump]],[1]!Table2[#All],7,FALSE),0)</f>
        <v>0</v>
      </c>
      <c r="AR29" s="25">
        <f>IF(Table1[[#This Row],[Adjusted_ULife_PF]]=4,VLOOKUP(Table1[[#This Row],[Item_Platform]],[1]!Table2[#All],7,FALSE),0)</f>
        <v>0</v>
      </c>
      <c r="AS29" s="25">
        <f>SUM(Table1[[#This Row],[yr 4_wl]:[yr 4_pf]])</f>
        <v>0</v>
      </c>
      <c r="AT29" s="25">
        <f>IF(Table1[[#This Row],[Years_Next_Rehab_Well]]=5,VLOOKUP(Table1[[#This Row],[Item_Rehab_WL]],[1]!Table2[#All],8,FALSE),0)</f>
        <v>0</v>
      </c>
      <c r="AU29" s="25">
        <f>IF(Table1[[#This Row],[Adjusted_ULife_HP]]=5,VLOOKUP(Table1[[#This Row],[Item_Handpump]],[1]!Table2[#All],8,FALSE),0)</f>
        <v>0</v>
      </c>
      <c r="AV29" s="25">
        <f>IF(Table1[[#This Row],[Adjusted_ULife_PF]]=5,VLOOKUP(Table1[[#This Row],[Item_Platform]],[1]!Table2[#All],8,FALSE),0)</f>
        <v>0</v>
      </c>
      <c r="AW29" s="25">
        <f>SUM(Table1[[#This Row],[yr 5_wl]:[yr 5_pf]])</f>
        <v>0</v>
      </c>
      <c r="AX29" s="25">
        <f>IF(Table1[[#This Row],[Years_Next_Rehab_Well]]=6,VLOOKUP(Table1[[#This Row],[Item_Rehab_WL]],[1]!Table2[#All],9,FALSE),0)</f>
        <v>0</v>
      </c>
      <c r="AY29" s="25">
        <f>IF(Table1[[#This Row],[Adjusted_ULife_HP]]=6,VLOOKUP(Table1[[#This Row],[Item_Handpump]],[1]!Table2[#All],9,FALSE),0)</f>
        <v>0</v>
      </c>
      <c r="AZ29" s="25">
        <f>IF(Table1[[#This Row],[Adjusted_ULife_PF]]=6,VLOOKUP(Table1[[#This Row],[Item_Platform]],[1]!Table2[#All],9,FALSE),0)</f>
        <v>2960.7340277760022</v>
      </c>
      <c r="BA29" s="25">
        <f>SUM(Table1[[#This Row],[yr 6_wl]:[yr 6_pf]])</f>
        <v>2960.7340277760022</v>
      </c>
      <c r="BB29" s="25">
        <f>IF(Table1[[#This Row],[Years_Next_Rehab_Well]]=7,VLOOKUP(Table1[[#This Row],[Item_Rehab_WL]],[1]!Table2[#All],10,FALSE),0)</f>
        <v>0</v>
      </c>
      <c r="BC29" s="25">
        <f>IF(Table1[[#This Row],[Adjusted_ULife_HP]]=7,VLOOKUP(Table1[[#This Row],[Item_Handpump]],[1]!Table2[#All],10,FALSE),0)</f>
        <v>0</v>
      </c>
      <c r="BD29" s="25">
        <f>IF(Table1[[#This Row],[Adjusted_ULife_PF]]=7,VLOOKUP(Table1[[#This Row],[Item_Platform]],[1]!Table2[#All],10,FALSE),0)</f>
        <v>0</v>
      </c>
      <c r="BE29" s="25">
        <f>SUM(Table1[[#This Row],[yr 7_wl]:[yr 7_pf]])</f>
        <v>0</v>
      </c>
      <c r="BF29" s="25">
        <f>IF(Table1[[#This Row],[Years_Next_Rehab_Well]]=8,VLOOKUP(Table1[[#This Row],[Item_Rehab_WL]],[1]!Table2[#All],11,FALSE),0)</f>
        <v>0</v>
      </c>
      <c r="BG29" s="25">
        <f>IF(Table1[[#This Row],[Adjusted_ULife_HP]]=8,VLOOKUP(Table1[[#This Row],[Item_Handpump]],[1]!Table2[#All],11,FALSE),0)</f>
        <v>0</v>
      </c>
      <c r="BH29" s="25">
        <f>IF(Table1[[#This Row],[Adjusted_ULife_PF]]=8,VLOOKUP(Table1[[#This Row],[Item_Platform]],[1]!Table2[#All],11,FALSE),0)</f>
        <v>0</v>
      </c>
      <c r="BI29" s="25">
        <f>SUM(Table1[[#This Row],[yr 8_wl]:[yr 8_pf]])</f>
        <v>0</v>
      </c>
      <c r="BJ29" s="25">
        <f>IF(Table1[[#This Row],[Years_Next_Rehab_Well]]=9,VLOOKUP(Table1[[#This Row],[Item_Rehab_WL]],[1]!Table2[#All],12,FALSE),0)</f>
        <v>0</v>
      </c>
      <c r="BK29" s="25">
        <f>IF(Table1[[#This Row],[Adjusted_ULife_HP]]=9,VLOOKUP(Table1[[#This Row],[Item_Handpump]],[1]!Table2[#All],12,FALSE),0)</f>
        <v>0</v>
      </c>
      <c r="BL29" s="25">
        <f>IF(Table1[[#This Row],[Adjusted_ULife_PF]]=9,VLOOKUP(Table1[[#This Row],[Item_Platform]],[1]!Table2[#All],12,FALSE),0)</f>
        <v>0</v>
      </c>
      <c r="BM29" s="25">
        <f>SUM(Table1[[#This Row],[yr 9_wl]:[yr 9_pf]])</f>
        <v>0</v>
      </c>
      <c r="BN29" s="25">
        <f>IF(Table1[[#This Row],[Years_Next_Rehab_Well]]=10,VLOOKUP(Table1[[#This Row],[Item_Rehab_WL]],[1]!Table2[#All],13,FALSE),0)</f>
        <v>0</v>
      </c>
      <c r="BO29" s="25">
        <f>IF(Table1[[#This Row],[Adjusted_ULife_HP]]=10,VLOOKUP(Table1[[#This Row],[Item_Handpump]],[1]!Table2[#All],13,FALSE),0)</f>
        <v>0</v>
      </c>
      <c r="BP29" s="25">
        <f>IF(Table1[[#This Row],[Adjusted_ULife_PF]]=10,VLOOKUP(Table1[[#This Row],[Item_Platform]],[1]!Table2[#All],13,FALSE),0)</f>
        <v>0</v>
      </c>
      <c r="BQ29" s="25">
        <f>SUM(Table1[[#This Row],[yr 10_wl]:[yr 10_pf]])</f>
        <v>0</v>
      </c>
      <c r="BR29" s="25">
        <f>IF(Table1[[#This Row],[Years_Next_Rehab_Well]]=11,VLOOKUP(Table1[[#This Row],[Item_Rehab_WL]],[1]!Table2[#All],14,FALSE),0)</f>
        <v>12754.683308933567</v>
      </c>
      <c r="BS29" s="25">
        <f>IF(Table1[[#This Row],[Adjusted_ULife_HP]]=11,VLOOKUP(Table1[[#This Row],[Item_Handpump]],[1]!Table2[#All],14,FALSE),0)</f>
        <v>0</v>
      </c>
      <c r="BT29" s="25">
        <f>IF(Table1[[#This Row],[Adjusted_ULife_PF]]=11,VLOOKUP(Table1[[#This Row],[Item_Platform]],[1]!Table2[#All],14,FALSE),0)</f>
        <v>0</v>
      </c>
      <c r="BU29" s="25">
        <f>SUM(Table1[[#This Row],[yr 11_wl]:[yr 11_pf]])</f>
        <v>12754.683308933567</v>
      </c>
      <c r="BV29" s="25">
        <f>IF(Table1[[#This Row],[Years_Next_Rehab_Well]]=12,VLOOKUP(Table1[[#This Row],[Item_Rehab_WL]],[1]!Table2[#All],15,FALSE),0)</f>
        <v>0</v>
      </c>
      <c r="BW29" s="25">
        <f>IF(Table1[[#This Row],[Adjusted_ULife_HP]]=12,VLOOKUP(Table1[[#This Row],[Item_Handpump]],[1]!Table2[#All],15,FALSE),0)</f>
        <v>0</v>
      </c>
      <c r="BX29" s="25">
        <f>IF(Table1[[#This Row],[Adjusted_ULife_PF]]=12,VLOOKUP(Table1[[#This Row],[Item_Platform]],[1]!Table2[#All],15,FALSE),0)</f>
        <v>0</v>
      </c>
      <c r="BY29" s="25">
        <f>SUM(Table1[[#This Row],[yr 12_wl]:[yr 12_pf]])</f>
        <v>0</v>
      </c>
      <c r="BZ29" s="25">
        <f>IF(Table1[[#This Row],[Years_Next_Rehab_Well]]=13,VLOOKUP(Table1[[#This Row],[Item_Rehab_WL]],[1]!Table2[#All],16,FALSE),0)</f>
        <v>0</v>
      </c>
      <c r="CA29" s="25">
        <f>IF(Table1[[#This Row],[Adjusted_ULife_HP]]=13,VLOOKUP(Table1[[#This Row],[Item_Handpump]],[1]!Table2[#All],16,FALSE),0)</f>
        <v>0</v>
      </c>
      <c r="CB29" s="25">
        <f>IF(Table1[[#This Row],[Adjusted_ULife_PF]]=13,VLOOKUP(Table1[[#This Row],[Item_Platform]],[1]!Table2[#All],16,FALSE),0)</f>
        <v>0</v>
      </c>
      <c r="CC29" s="25">
        <f>SUM(Table1[[#This Row],[yr 13_wl]:[yr 13_pf]])</f>
        <v>0</v>
      </c>
      <c r="CD29" s="12"/>
    </row>
    <row r="30" spans="1:82" s="11" customFormat="1" x14ac:dyDescent="0.25">
      <c r="A30" s="11" t="str">
        <f>IF([1]Input_monitoring_data!A26="","",[1]Input_monitoring_data!A26)</f>
        <v>45d0-bfdx-h3k6</v>
      </c>
      <c r="B30" s="22" t="str">
        <f>[1]Input_monitoring_data!BH26</f>
        <v>Gambia</v>
      </c>
      <c r="C30" s="22" t="str">
        <f>[1]Input_monitoring_data!BI26</f>
        <v>Kwanfinfin</v>
      </c>
      <c r="D30" s="22" t="str">
        <f>[1]Input_monitoring_data!P26</f>
        <v>7.074899032451159</v>
      </c>
      <c r="E30" s="22" t="str">
        <f>[1]Input_monitoring_data!Q26</f>
        <v>-2.6178530878905435</v>
      </c>
      <c r="F30" s="22" t="str">
        <f>[1]Input_monitoring_data!V26</f>
        <v>Aunti Georgina's Premises</v>
      </c>
      <c r="G30" s="23" t="str">
        <f>[1]Input_monitoring_data!U26</f>
        <v>Borehole</v>
      </c>
      <c r="H30" s="22">
        <f>[1]Input_monitoring_data!X26</f>
        <v>2013</v>
      </c>
      <c r="I30" s="21" t="str">
        <f>[1]Input_monitoring_data!AB26</f>
        <v>Borehole redevelopment</v>
      </c>
      <c r="J30" s="21">
        <f>[1]Input_monitoring_data!AC26</f>
        <v>0</v>
      </c>
      <c r="K30" s="23" t="str">
        <f>[1]Input_monitoring_data!W26</f>
        <v>Solar Pump</v>
      </c>
      <c r="L30" s="22">
        <f>[1]Input_monitoring_data!X26</f>
        <v>2013</v>
      </c>
      <c r="M30" s="21" t="str">
        <f>IF([1]Input_monitoring_data!BL26&gt;'Point Sources_Asset_Register_'!L30,[1]Input_monitoring_data!BL26,"")</f>
        <v/>
      </c>
      <c r="N30" s="22" t="str">
        <f>[1]Input_monitoring_data!BQ26</f>
        <v>functional</v>
      </c>
      <c r="O30" s="22">
        <f>[1]Input_monitoring_data!AJ26</f>
        <v>0</v>
      </c>
      <c r="P30" s="23" t="s">
        <v>0</v>
      </c>
      <c r="Q30" s="22">
        <f>L30</f>
        <v>2013</v>
      </c>
      <c r="R30" s="21" t="str">
        <f>M30</f>
        <v/>
      </c>
      <c r="S30" s="20">
        <f>[1]Input_EUL_CRC_ERC!$B$17-Table1[[#This Row],[Year Installed_WL]]</f>
        <v>4</v>
      </c>
      <c r="T30" s="20">
        <f>[1]Input_EUL_CRC_ERC!$B$17-(IF(Table1[[#This Row],[Year Last_Rehab_WL ]]=0,Table1[[#This Row],[Year Installed_WL]],[1]Input_EUL_CRC_ERC!$B$17-Table1[[#This Row],[Year Last_Rehab_WL ]]))</f>
        <v>4</v>
      </c>
      <c r="U30" s="20">
        <f>(VLOOKUP(Table1[[#This Row],[Item_Rehab_WL]],[1]Input_EUL_CRC_ERC!$C$17:$E$27,2,FALSE)-Table1[[#This Row],[Last Rehab Age]])</f>
        <v>11</v>
      </c>
      <c r="V30" s="19">
        <f>[1]Input_EUL_CRC_ERC!$B$17-Table1[[#This Row],[Year Installed_HP]]</f>
        <v>4</v>
      </c>
      <c r="W30" s="19">
        <f>(VLOOKUP(Table1[[#This Row],[Item_Handpump]],[1]!Table2[#All],2,FALSE))-(IF(Table1[[#This Row],[Year Last_Rehab_HP]]="",Table1[[#This Row],[Current Age_Handpump]],[1]Input_EUL_CRC_ERC!$B$17-Table1[[#This Row],[Year Last_Rehab_HP]]))</f>
        <v>6</v>
      </c>
      <c r="X30" s="19">
        <f>[1]Input_EUL_CRC_ERC!$B$17-Table1[[#This Row],[Year Installed_PF]]</f>
        <v>4</v>
      </c>
      <c r="Y30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30" s="25">
        <f>IF(Table1[[#This Row],[Years_Next_Rehab_Well]]&lt;=0,VLOOKUP(Table1[[#This Row],[Item_Rehab_WL]],[1]!Table2[#All],3,FALSE),0)</f>
        <v>0</v>
      </c>
      <c r="AA30" s="18">
        <f>IF(Table1[[#This Row],[Adjusted_ULife_HP]]&lt;=0,VLOOKUP(Table1[[#This Row],[Item_Handpump]],[1]!Table2[#All],3,FALSE),0)</f>
        <v>0</v>
      </c>
      <c r="AB30" s="18">
        <f>IF(Table1[[#This Row],[Adjusted_ULife_PF]]&lt;=0,VLOOKUP(Table1[[#This Row],[Item_Platform]],[1]!Table2[#All],3,FALSE),0)</f>
        <v>0</v>
      </c>
      <c r="AC30" s="18">
        <f>SUM(Table1[[#This Row],[current yr_wl]:[current yr_pf]])</f>
        <v>0</v>
      </c>
      <c r="AD30" s="25">
        <f>IF(Table1[[#This Row],[Years_Next_Rehab_Well]]=1,VLOOKUP(Table1[[#This Row],[Item_Rehab_WL]],[1]!Table2[#All],4,FALSE),0)</f>
        <v>0</v>
      </c>
      <c r="AE30" s="25">
        <f>IF(Table1[[#This Row],[Adjusted_ULife_HP]]=1,VLOOKUP(Table1[[#This Row],[Item_Handpump]],[1]!Table2[#All],4,FALSE),0)</f>
        <v>0</v>
      </c>
      <c r="AF30" s="25">
        <f>IF(Table1[[#This Row],[Adjusted_ULife_PF]]=1,VLOOKUP(Table1[[#This Row],[Item_Platform]],[1]!Table2[#All],4,FALSE),0)</f>
        <v>0</v>
      </c>
      <c r="AG30" s="25">
        <f>SUM(Table1[[#This Row],[yr 1_wl]:[yr 1_pf]])</f>
        <v>0</v>
      </c>
      <c r="AH30" s="25">
        <f>IF(Table1[[#This Row],[Years_Next_Rehab_Well]]=2,VLOOKUP(Table1[[#This Row],[Item_Rehab_WL]],[1]!Table2[#All],5,FALSE),0)</f>
        <v>0</v>
      </c>
      <c r="AI30" s="25">
        <f>IF(Table1[[#This Row],[Adjusted_ULife_HP]]=2,VLOOKUP(Table1[[#This Row],[Item_Handpump]],[1]!Table2[#All],5,FALSE),0)</f>
        <v>0</v>
      </c>
      <c r="AJ30" s="25">
        <f>IF(Table1[[#This Row],[Adjusted_ULife_PF]]=2,VLOOKUP(Table1[[#This Row],[Item_Platform]],[1]!Table2[#All],5,FALSE),0)</f>
        <v>0</v>
      </c>
      <c r="AK30" s="25">
        <f>SUM(Table1[[#This Row],[yr 2_wl]:[yr 2_pf]])</f>
        <v>0</v>
      </c>
      <c r="AL30" s="25">
        <f>IF(Table1[[#This Row],[Years_Next_Rehab_Well]]=3,VLOOKUP(Table1[[#This Row],[Item_Rehab_WL]],[1]!Table2[#All],6,FALSE),0)</f>
        <v>0</v>
      </c>
      <c r="AM30" s="25">
        <f>IF(Table1[[#This Row],[Adjusted_ULife_HP]]=3,VLOOKUP(Table1[[#This Row],[Item_Handpump]],[1]!Table2[#All],6,FALSE),0)</f>
        <v>0</v>
      </c>
      <c r="AN30" s="25">
        <f>IF(Table1[[#This Row],[Adjusted_ULife_PF]]=3,VLOOKUP(Table1[[#This Row],[Item_Platform]],[1]!Table2[#All],6,FALSE),0)</f>
        <v>0</v>
      </c>
      <c r="AO30" s="25">
        <f>SUM(Table1[[#This Row],[yr 3_wl]:[yr 3_pf]])</f>
        <v>0</v>
      </c>
      <c r="AP30" s="25">
        <f>IF(Table1[[#This Row],[Years_Next_Rehab_Well]]=4,VLOOKUP(Table1[[#This Row],[Item_Rehab_WL]],[1]!Table2[#All],7,FALSE),0)</f>
        <v>0</v>
      </c>
      <c r="AQ30" s="25">
        <f>IF(Table1[[#This Row],[Adjusted_ULife_HP]]=4,VLOOKUP(Table1[[#This Row],[Item_Handpump]],[1]!Table2[#All],7,FALSE),0)</f>
        <v>0</v>
      </c>
      <c r="AR30" s="25">
        <f>IF(Table1[[#This Row],[Adjusted_ULife_PF]]=4,VLOOKUP(Table1[[#This Row],[Item_Platform]],[1]!Table2[#All],7,FALSE),0)</f>
        <v>0</v>
      </c>
      <c r="AS30" s="25">
        <f>SUM(Table1[[#This Row],[yr 4_wl]:[yr 4_pf]])</f>
        <v>0</v>
      </c>
      <c r="AT30" s="25">
        <f>IF(Table1[[#This Row],[Years_Next_Rehab_Well]]=5,VLOOKUP(Table1[[#This Row],[Item_Rehab_WL]],[1]!Table2[#All],8,FALSE),0)</f>
        <v>0</v>
      </c>
      <c r="AU30" s="25">
        <f>IF(Table1[[#This Row],[Adjusted_ULife_HP]]=5,VLOOKUP(Table1[[#This Row],[Item_Handpump]],[1]!Table2[#All],8,FALSE),0)</f>
        <v>0</v>
      </c>
      <c r="AV30" s="25">
        <f>IF(Table1[[#This Row],[Adjusted_ULife_PF]]=5,VLOOKUP(Table1[[#This Row],[Item_Platform]],[1]!Table2[#All],8,FALSE),0)</f>
        <v>0</v>
      </c>
      <c r="AW30" s="25">
        <f>SUM(Table1[[#This Row],[yr 5_wl]:[yr 5_pf]])</f>
        <v>0</v>
      </c>
      <c r="AX30" s="25">
        <f>IF(Table1[[#This Row],[Years_Next_Rehab_Well]]=6,VLOOKUP(Table1[[#This Row],[Item_Rehab_WL]],[1]!Table2[#All],9,FALSE),0)</f>
        <v>0</v>
      </c>
      <c r="AY30" s="25">
        <f>IF(Table1[[#This Row],[Adjusted_ULife_HP]]=6,VLOOKUP(Table1[[#This Row],[Item_Handpump]],[1]!Table2[#All],9,FALSE),0)</f>
        <v>789.52907407360033</v>
      </c>
      <c r="AZ30" s="25">
        <f>IF(Table1[[#This Row],[Adjusted_ULife_PF]]=6,VLOOKUP(Table1[[#This Row],[Item_Platform]],[1]!Table2[#All],9,FALSE),0)</f>
        <v>2960.7340277760022</v>
      </c>
      <c r="BA30" s="25">
        <f>SUM(Table1[[#This Row],[yr 6_wl]:[yr 6_pf]])</f>
        <v>3750.2631018496027</v>
      </c>
      <c r="BB30" s="25">
        <f>IF(Table1[[#This Row],[Years_Next_Rehab_Well]]=7,VLOOKUP(Table1[[#This Row],[Item_Rehab_WL]],[1]!Table2[#All],10,FALSE),0)</f>
        <v>0</v>
      </c>
      <c r="BC30" s="25">
        <f>IF(Table1[[#This Row],[Adjusted_ULife_HP]]=7,VLOOKUP(Table1[[#This Row],[Item_Handpump]],[1]!Table2[#All],10,FALSE),0)</f>
        <v>0</v>
      </c>
      <c r="BD30" s="25">
        <f>IF(Table1[[#This Row],[Adjusted_ULife_PF]]=7,VLOOKUP(Table1[[#This Row],[Item_Platform]],[1]!Table2[#All],10,FALSE),0)</f>
        <v>0</v>
      </c>
      <c r="BE30" s="25">
        <f>SUM(Table1[[#This Row],[yr 7_wl]:[yr 7_pf]])</f>
        <v>0</v>
      </c>
      <c r="BF30" s="25">
        <f>IF(Table1[[#This Row],[Years_Next_Rehab_Well]]=8,VLOOKUP(Table1[[#This Row],[Item_Rehab_WL]],[1]!Table2[#All],11,FALSE),0)</f>
        <v>0</v>
      </c>
      <c r="BG30" s="25">
        <f>IF(Table1[[#This Row],[Adjusted_ULife_HP]]=8,VLOOKUP(Table1[[#This Row],[Item_Handpump]],[1]!Table2[#All],11,FALSE),0)</f>
        <v>0</v>
      </c>
      <c r="BH30" s="25">
        <f>IF(Table1[[#This Row],[Adjusted_ULife_PF]]=8,VLOOKUP(Table1[[#This Row],[Item_Platform]],[1]!Table2[#All],11,FALSE),0)</f>
        <v>0</v>
      </c>
      <c r="BI30" s="25">
        <f>SUM(Table1[[#This Row],[yr 8_wl]:[yr 8_pf]])</f>
        <v>0</v>
      </c>
      <c r="BJ30" s="25">
        <f>IF(Table1[[#This Row],[Years_Next_Rehab_Well]]=9,VLOOKUP(Table1[[#This Row],[Item_Rehab_WL]],[1]!Table2[#All],12,FALSE),0)</f>
        <v>0</v>
      </c>
      <c r="BK30" s="25">
        <f>IF(Table1[[#This Row],[Adjusted_ULife_HP]]=9,VLOOKUP(Table1[[#This Row],[Item_Handpump]],[1]!Table2[#All],12,FALSE),0)</f>
        <v>0</v>
      </c>
      <c r="BL30" s="25">
        <f>IF(Table1[[#This Row],[Adjusted_ULife_PF]]=9,VLOOKUP(Table1[[#This Row],[Item_Platform]],[1]!Table2[#All],12,FALSE),0)</f>
        <v>0</v>
      </c>
      <c r="BM30" s="25">
        <f>SUM(Table1[[#This Row],[yr 9_wl]:[yr 9_pf]])</f>
        <v>0</v>
      </c>
      <c r="BN30" s="25">
        <f>IF(Table1[[#This Row],[Years_Next_Rehab_Well]]=10,VLOOKUP(Table1[[#This Row],[Item_Rehab_WL]],[1]!Table2[#All],13,FALSE),0)</f>
        <v>0</v>
      </c>
      <c r="BO30" s="25">
        <f>IF(Table1[[#This Row],[Adjusted_ULife_HP]]=10,VLOOKUP(Table1[[#This Row],[Item_Handpump]],[1]!Table2[#All],13,FALSE),0)</f>
        <v>0</v>
      </c>
      <c r="BP30" s="25">
        <f>IF(Table1[[#This Row],[Adjusted_ULife_PF]]=10,VLOOKUP(Table1[[#This Row],[Item_Platform]],[1]!Table2[#All],13,FALSE),0)</f>
        <v>0</v>
      </c>
      <c r="BQ30" s="25">
        <f>SUM(Table1[[#This Row],[yr 10_wl]:[yr 10_pf]])</f>
        <v>0</v>
      </c>
      <c r="BR30" s="25">
        <f>IF(Table1[[#This Row],[Years_Next_Rehab_Well]]=11,VLOOKUP(Table1[[#This Row],[Item_Rehab_WL]],[1]!Table2[#All],14,FALSE),0)</f>
        <v>12754.683308933567</v>
      </c>
      <c r="BS30" s="25">
        <f>IF(Table1[[#This Row],[Adjusted_ULife_HP]]=11,VLOOKUP(Table1[[#This Row],[Item_Handpump]],[1]!Table2[#All],14,FALSE),0)</f>
        <v>0</v>
      </c>
      <c r="BT30" s="25">
        <f>IF(Table1[[#This Row],[Adjusted_ULife_PF]]=11,VLOOKUP(Table1[[#This Row],[Item_Platform]],[1]!Table2[#All],14,FALSE),0)</f>
        <v>0</v>
      </c>
      <c r="BU30" s="25">
        <f>SUM(Table1[[#This Row],[yr 11_wl]:[yr 11_pf]])</f>
        <v>12754.683308933567</v>
      </c>
      <c r="BV30" s="25">
        <f>IF(Table1[[#This Row],[Years_Next_Rehab_Well]]=12,VLOOKUP(Table1[[#This Row],[Item_Rehab_WL]],[1]!Table2[#All],15,FALSE),0)</f>
        <v>0</v>
      </c>
      <c r="BW30" s="25">
        <f>IF(Table1[[#This Row],[Adjusted_ULife_HP]]=12,VLOOKUP(Table1[[#This Row],[Item_Handpump]],[1]!Table2[#All],15,FALSE),0)</f>
        <v>0</v>
      </c>
      <c r="BX30" s="25">
        <f>IF(Table1[[#This Row],[Adjusted_ULife_PF]]=12,VLOOKUP(Table1[[#This Row],[Item_Platform]],[1]!Table2[#All],15,FALSE),0)</f>
        <v>0</v>
      </c>
      <c r="BY30" s="25">
        <f>SUM(Table1[[#This Row],[yr 12_wl]:[yr 12_pf]])</f>
        <v>0</v>
      </c>
      <c r="BZ30" s="25">
        <f>IF(Table1[[#This Row],[Years_Next_Rehab_Well]]=13,VLOOKUP(Table1[[#This Row],[Item_Rehab_WL]],[1]!Table2[#All],16,FALSE),0)</f>
        <v>0</v>
      </c>
      <c r="CA30" s="25">
        <f>IF(Table1[[#This Row],[Adjusted_ULife_HP]]=13,VLOOKUP(Table1[[#This Row],[Item_Handpump]],[1]!Table2[#All],16,FALSE),0)</f>
        <v>0</v>
      </c>
      <c r="CB30" s="25">
        <f>IF(Table1[[#This Row],[Adjusted_ULife_PF]]=13,VLOOKUP(Table1[[#This Row],[Item_Platform]],[1]!Table2[#All],16,FALSE),0)</f>
        <v>0</v>
      </c>
      <c r="CC30" s="25">
        <f>SUM(Table1[[#This Row],[yr 13_wl]:[yr 13_pf]])</f>
        <v>0</v>
      </c>
      <c r="CD30" s="12"/>
    </row>
    <row r="31" spans="1:82" s="11" customFormat="1" x14ac:dyDescent="0.25">
      <c r="A31" s="11" t="str">
        <f>IF([1]Input_monitoring_data!A27="","",[1]Input_monitoring_data!A27)</f>
        <v>47uq-fx27-5a2j</v>
      </c>
      <c r="B31" s="22" t="str">
        <f>[1]Input_monitoring_data!BH27</f>
        <v>Gambia</v>
      </c>
      <c r="C31" s="22" t="str">
        <f>[1]Input_monitoring_data!BI27</f>
        <v>Gambia No.1</v>
      </c>
      <c r="D31" s="22" t="str">
        <f>[1]Input_monitoring_data!P27</f>
        <v>7.039480405555414</v>
      </c>
      <c r="E31" s="22" t="str">
        <f>[1]Input_monitoring_data!Q27</f>
        <v>-2.6390018329304463</v>
      </c>
      <c r="F31" s="22" t="str">
        <f>[1]Input_monitoring_data!V27</f>
        <v>Along Side Of Nsuta Road</v>
      </c>
      <c r="G31" s="23" t="str">
        <f>[1]Input_monitoring_data!U27</f>
        <v>Borehole</v>
      </c>
      <c r="H31" s="22">
        <f>[1]Input_monitoring_data!X27</f>
        <v>2007</v>
      </c>
      <c r="I31" s="21" t="str">
        <f>[1]Input_monitoring_data!AB27</f>
        <v>Borehole redevelopment</v>
      </c>
      <c r="J31" s="21">
        <f>[1]Input_monitoring_data!AC27</f>
        <v>0</v>
      </c>
      <c r="K31" s="23" t="str">
        <f>[1]Input_monitoring_data!W27</f>
        <v>AfriDev</v>
      </c>
      <c r="L31" s="22">
        <f>[1]Input_monitoring_data!X27</f>
        <v>2007</v>
      </c>
      <c r="M31" s="21">
        <f>IF([1]Input_monitoring_data!BL27&gt;'Point Sources_Asset_Register_'!L31,[1]Input_monitoring_data!BL27,"")</f>
        <v>2013</v>
      </c>
      <c r="N31" s="22" t="str">
        <f>[1]Input_monitoring_data!BQ27</f>
        <v>functional</v>
      </c>
      <c r="O31" s="22">
        <f>[1]Input_monitoring_data!AJ27</f>
        <v>0</v>
      </c>
      <c r="P31" s="23" t="s">
        <v>0</v>
      </c>
      <c r="Q31" s="22">
        <f>L31</f>
        <v>2007</v>
      </c>
      <c r="R31" s="21">
        <f>M31</f>
        <v>2013</v>
      </c>
      <c r="S31" s="20">
        <f>[1]Input_EUL_CRC_ERC!$B$17-Table1[[#This Row],[Year Installed_WL]]</f>
        <v>10</v>
      </c>
      <c r="T31" s="20">
        <f>[1]Input_EUL_CRC_ERC!$B$17-(IF(Table1[[#This Row],[Year Last_Rehab_WL ]]=0,Table1[[#This Row],[Year Installed_WL]],[1]Input_EUL_CRC_ERC!$B$17-Table1[[#This Row],[Year Last_Rehab_WL ]]))</f>
        <v>10</v>
      </c>
      <c r="U31" s="20">
        <f>(VLOOKUP(Table1[[#This Row],[Item_Rehab_WL]],[1]Input_EUL_CRC_ERC!$C$17:$E$27,2,FALSE)-Table1[[#This Row],[Last Rehab Age]])</f>
        <v>5</v>
      </c>
      <c r="V31" s="19">
        <f>[1]Input_EUL_CRC_ERC!$B$17-Table1[[#This Row],[Year Installed_HP]]</f>
        <v>10</v>
      </c>
      <c r="W31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31" s="19">
        <f>[1]Input_EUL_CRC_ERC!$B$17-Table1[[#This Row],[Year Installed_PF]]</f>
        <v>10</v>
      </c>
      <c r="Y31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31" s="25">
        <f>IF(Table1[[#This Row],[Years_Next_Rehab_Well]]&lt;=0,VLOOKUP(Table1[[#This Row],[Item_Rehab_WL]],[1]!Table2[#All],3,FALSE),0)</f>
        <v>0</v>
      </c>
      <c r="AA31" s="18">
        <f>IF(Table1[[#This Row],[Adjusted_ULife_HP]]&lt;=0,VLOOKUP(Table1[[#This Row],[Item_Handpump]],[1]!Table2[#All],3,FALSE),0)</f>
        <v>0</v>
      </c>
      <c r="AB31" s="18">
        <f>IF(Table1[[#This Row],[Adjusted_ULife_PF]]&lt;=0,VLOOKUP(Table1[[#This Row],[Item_Platform]],[1]!Table2[#All],3,FALSE),0)</f>
        <v>0</v>
      </c>
      <c r="AC31" s="18">
        <f>SUM(Table1[[#This Row],[current yr_wl]:[current yr_pf]])</f>
        <v>0</v>
      </c>
      <c r="AD31" s="25">
        <f>IF(Table1[[#This Row],[Years_Next_Rehab_Well]]=1,VLOOKUP(Table1[[#This Row],[Item_Rehab_WL]],[1]!Table2[#All],4,FALSE),0)</f>
        <v>0</v>
      </c>
      <c r="AE31" s="25">
        <f>IF(Table1[[#This Row],[Adjusted_ULife_HP]]=1,VLOOKUP(Table1[[#This Row],[Item_Handpump]],[1]!Table2[#All],4,FALSE),0)</f>
        <v>0</v>
      </c>
      <c r="AF31" s="25">
        <f>IF(Table1[[#This Row],[Adjusted_ULife_PF]]=1,VLOOKUP(Table1[[#This Row],[Item_Platform]],[1]!Table2[#All],4,FALSE),0)</f>
        <v>0</v>
      </c>
      <c r="AG31" s="25">
        <f>SUM(Table1[[#This Row],[yr 1_wl]:[yr 1_pf]])</f>
        <v>0</v>
      </c>
      <c r="AH31" s="25">
        <f>IF(Table1[[#This Row],[Years_Next_Rehab_Well]]=2,VLOOKUP(Table1[[#This Row],[Item_Rehab_WL]],[1]!Table2[#All],5,FALSE),0)</f>
        <v>0</v>
      </c>
      <c r="AI31" s="25">
        <f>IF(Table1[[#This Row],[Adjusted_ULife_HP]]=2,VLOOKUP(Table1[[#This Row],[Item_Handpump]],[1]!Table2[#All],5,FALSE),0)</f>
        <v>0</v>
      </c>
      <c r="AJ31" s="25">
        <f>IF(Table1[[#This Row],[Adjusted_ULife_PF]]=2,VLOOKUP(Table1[[#This Row],[Item_Platform]],[1]!Table2[#All],5,FALSE),0)</f>
        <v>0</v>
      </c>
      <c r="AK31" s="25">
        <f>SUM(Table1[[#This Row],[yr 2_wl]:[yr 2_pf]])</f>
        <v>0</v>
      </c>
      <c r="AL31" s="25">
        <f>IF(Table1[[#This Row],[Years_Next_Rehab_Well]]=3,VLOOKUP(Table1[[#This Row],[Item_Rehab_WL]],[1]!Table2[#All],6,FALSE),0)</f>
        <v>0</v>
      </c>
      <c r="AM31" s="25">
        <f>IF(Table1[[#This Row],[Adjusted_ULife_HP]]=3,VLOOKUP(Table1[[#This Row],[Item_Handpump]],[1]!Table2[#All],6,FALSE),0)</f>
        <v>0</v>
      </c>
      <c r="AN31" s="25">
        <f>IF(Table1[[#This Row],[Adjusted_ULife_PF]]=3,VLOOKUP(Table1[[#This Row],[Item_Platform]],[1]!Table2[#All],6,FALSE),0)</f>
        <v>0</v>
      </c>
      <c r="AO31" s="25">
        <f>SUM(Table1[[#This Row],[yr 3_wl]:[yr 3_pf]])</f>
        <v>0</v>
      </c>
      <c r="AP31" s="25">
        <f>IF(Table1[[#This Row],[Years_Next_Rehab_Well]]=4,VLOOKUP(Table1[[#This Row],[Item_Rehab_WL]],[1]!Table2[#All],7,FALSE),0)</f>
        <v>0</v>
      </c>
      <c r="AQ31" s="25">
        <f>IF(Table1[[#This Row],[Adjusted_ULife_HP]]=4,VLOOKUP(Table1[[#This Row],[Item_Handpump]],[1]!Table2[#All],7,FALSE),0)</f>
        <v>0</v>
      </c>
      <c r="AR31" s="25">
        <f>IF(Table1[[#This Row],[Adjusted_ULife_PF]]=4,VLOOKUP(Table1[[#This Row],[Item_Platform]],[1]!Table2[#All],7,FALSE),0)</f>
        <v>0</v>
      </c>
      <c r="AS31" s="25">
        <f>SUM(Table1[[#This Row],[yr 4_wl]:[yr 4_pf]])</f>
        <v>0</v>
      </c>
      <c r="AT31" s="25">
        <f>IF(Table1[[#This Row],[Years_Next_Rehab_Well]]=5,VLOOKUP(Table1[[#This Row],[Item_Rehab_WL]],[1]!Table2[#All],8,FALSE),0)</f>
        <v>6461.9195050666694</v>
      </c>
      <c r="AU31" s="25">
        <f>IF(Table1[[#This Row],[Adjusted_ULife_HP]]=5,VLOOKUP(Table1[[#This Row],[Item_Handpump]],[1]!Table2[#All],8,FALSE),0)</f>
        <v>0</v>
      </c>
      <c r="AV31" s="25">
        <f>IF(Table1[[#This Row],[Adjusted_ULife_PF]]=5,VLOOKUP(Table1[[#This Row],[Item_Platform]],[1]!Table2[#All],8,FALSE),0)</f>
        <v>0</v>
      </c>
      <c r="AW31" s="25">
        <f>SUM(Table1[[#This Row],[yr 5_wl]:[yr 5_pf]])</f>
        <v>6461.9195050666694</v>
      </c>
      <c r="AX31" s="25">
        <f>IF(Table1[[#This Row],[Years_Next_Rehab_Well]]=6,VLOOKUP(Table1[[#This Row],[Item_Rehab_WL]],[1]!Table2[#All],9,FALSE),0)</f>
        <v>0</v>
      </c>
      <c r="AY31" s="25">
        <f>IF(Table1[[#This Row],[Adjusted_ULife_HP]]=6,VLOOKUP(Table1[[#This Row],[Item_Handpump]],[1]!Table2[#All],9,FALSE),0)</f>
        <v>0</v>
      </c>
      <c r="AZ31" s="25">
        <f>IF(Table1[[#This Row],[Adjusted_ULife_PF]]=6,VLOOKUP(Table1[[#This Row],[Item_Platform]],[1]!Table2[#All],9,FALSE),0)</f>
        <v>2960.7340277760022</v>
      </c>
      <c r="BA31" s="25">
        <f>SUM(Table1[[#This Row],[yr 6_wl]:[yr 6_pf]])</f>
        <v>2960.7340277760022</v>
      </c>
      <c r="BB31" s="25">
        <f>IF(Table1[[#This Row],[Years_Next_Rehab_Well]]=7,VLOOKUP(Table1[[#This Row],[Item_Rehab_WL]],[1]!Table2[#All],10,FALSE),0)</f>
        <v>0</v>
      </c>
      <c r="BC31" s="25">
        <f>IF(Table1[[#This Row],[Adjusted_ULife_HP]]=7,VLOOKUP(Table1[[#This Row],[Item_Handpump]],[1]!Table2[#All],10,FALSE),0)</f>
        <v>0</v>
      </c>
      <c r="BD31" s="25">
        <f>IF(Table1[[#This Row],[Adjusted_ULife_PF]]=7,VLOOKUP(Table1[[#This Row],[Item_Platform]],[1]!Table2[#All],10,FALSE),0)</f>
        <v>0</v>
      </c>
      <c r="BE31" s="25">
        <f>SUM(Table1[[#This Row],[yr 7_wl]:[yr 7_pf]])</f>
        <v>0</v>
      </c>
      <c r="BF31" s="25">
        <f>IF(Table1[[#This Row],[Years_Next_Rehab_Well]]=8,VLOOKUP(Table1[[#This Row],[Item_Rehab_WL]],[1]!Table2[#All],11,FALSE),0)</f>
        <v>0</v>
      </c>
      <c r="BG31" s="25">
        <f>IF(Table1[[#This Row],[Adjusted_ULife_HP]]=8,VLOOKUP(Table1[[#This Row],[Item_Handpump]],[1]!Table2[#All],11,FALSE),0)</f>
        <v>0</v>
      </c>
      <c r="BH31" s="25">
        <f>IF(Table1[[#This Row],[Adjusted_ULife_PF]]=8,VLOOKUP(Table1[[#This Row],[Item_Platform]],[1]!Table2[#All],11,FALSE),0)</f>
        <v>0</v>
      </c>
      <c r="BI31" s="25">
        <f>SUM(Table1[[#This Row],[yr 8_wl]:[yr 8_pf]])</f>
        <v>0</v>
      </c>
      <c r="BJ31" s="25">
        <f>IF(Table1[[#This Row],[Years_Next_Rehab_Well]]=9,VLOOKUP(Table1[[#This Row],[Item_Rehab_WL]],[1]!Table2[#All],12,FALSE),0)</f>
        <v>0</v>
      </c>
      <c r="BK31" s="25">
        <f>IF(Table1[[#This Row],[Adjusted_ULife_HP]]=9,VLOOKUP(Table1[[#This Row],[Item_Handpump]],[1]!Table2[#All],12,FALSE),0)</f>
        <v>0</v>
      </c>
      <c r="BL31" s="25">
        <f>IF(Table1[[#This Row],[Adjusted_ULife_PF]]=9,VLOOKUP(Table1[[#This Row],[Item_Platform]],[1]!Table2[#All],12,FALSE),0)</f>
        <v>0</v>
      </c>
      <c r="BM31" s="25">
        <f>SUM(Table1[[#This Row],[yr 9_wl]:[yr 9_pf]])</f>
        <v>0</v>
      </c>
      <c r="BN31" s="25">
        <f>IF(Table1[[#This Row],[Years_Next_Rehab_Well]]=10,VLOOKUP(Table1[[#This Row],[Item_Rehab_WL]],[1]!Table2[#All],13,FALSE),0)</f>
        <v>0</v>
      </c>
      <c r="BO31" s="25">
        <f>IF(Table1[[#This Row],[Adjusted_ULife_HP]]=10,VLOOKUP(Table1[[#This Row],[Item_Handpump]],[1]!Table2[#All],13,FALSE),0)</f>
        <v>0</v>
      </c>
      <c r="BP31" s="25">
        <f>IF(Table1[[#This Row],[Adjusted_ULife_PF]]=10,VLOOKUP(Table1[[#This Row],[Item_Platform]],[1]!Table2[#All],13,FALSE),0)</f>
        <v>0</v>
      </c>
      <c r="BQ31" s="25">
        <f>SUM(Table1[[#This Row],[yr 10_wl]:[yr 10_pf]])</f>
        <v>0</v>
      </c>
      <c r="BR31" s="25">
        <f>IF(Table1[[#This Row],[Years_Next_Rehab_Well]]=11,VLOOKUP(Table1[[#This Row],[Item_Rehab_WL]],[1]!Table2[#All],14,FALSE),0)</f>
        <v>0</v>
      </c>
      <c r="BS31" s="25">
        <f>IF(Table1[[#This Row],[Adjusted_ULife_HP]]=11,VLOOKUP(Table1[[#This Row],[Item_Handpump]],[1]!Table2[#All],14,FALSE),0)</f>
        <v>0</v>
      </c>
      <c r="BT31" s="25">
        <f>IF(Table1[[#This Row],[Adjusted_ULife_PF]]=11,VLOOKUP(Table1[[#This Row],[Item_Platform]],[1]!Table2[#All],14,FALSE),0)</f>
        <v>0</v>
      </c>
      <c r="BU31" s="25">
        <f>SUM(Table1[[#This Row],[yr 11_wl]:[yr 11_pf]])</f>
        <v>0</v>
      </c>
      <c r="BV31" s="25">
        <f>IF(Table1[[#This Row],[Years_Next_Rehab_Well]]=12,VLOOKUP(Table1[[#This Row],[Item_Rehab_WL]],[1]!Table2[#All],15,FALSE),0)</f>
        <v>0</v>
      </c>
      <c r="BW31" s="25">
        <f>IF(Table1[[#This Row],[Adjusted_ULife_HP]]=12,VLOOKUP(Table1[[#This Row],[Item_Handpump]],[1]!Table2[#All],15,FALSE),0)</f>
        <v>0</v>
      </c>
      <c r="BX31" s="25">
        <f>IF(Table1[[#This Row],[Adjusted_ULife_PF]]=12,VLOOKUP(Table1[[#This Row],[Item_Platform]],[1]!Table2[#All],15,FALSE),0)</f>
        <v>0</v>
      </c>
      <c r="BY31" s="25">
        <f>SUM(Table1[[#This Row],[yr 12_wl]:[yr 12_pf]])</f>
        <v>0</v>
      </c>
      <c r="BZ31" s="25">
        <f>IF(Table1[[#This Row],[Years_Next_Rehab_Well]]=13,VLOOKUP(Table1[[#This Row],[Item_Rehab_WL]],[1]!Table2[#All],16,FALSE),0)</f>
        <v>0</v>
      </c>
      <c r="CA31" s="25">
        <f>IF(Table1[[#This Row],[Adjusted_ULife_HP]]=13,VLOOKUP(Table1[[#This Row],[Item_Handpump]],[1]!Table2[#All],16,FALSE),0)</f>
        <v>0</v>
      </c>
      <c r="CB31" s="25">
        <f>IF(Table1[[#This Row],[Adjusted_ULife_PF]]=13,VLOOKUP(Table1[[#This Row],[Item_Platform]],[1]!Table2[#All],16,FALSE),0)</f>
        <v>0</v>
      </c>
      <c r="CC31" s="25">
        <f>SUM(Table1[[#This Row],[yr 13_wl]:[yr 13_pf]])</f>
        <v>0</v>
      </c>
      <c r="CD31" s="12"/>
    </row>
    <row r="32" spans="1:82" s="11" customFormat="1" x14ac:dyDescent="0.25">
      <c r="A32" s="11" t="str">
        <f>IF([1]Input_monitoring_data!A28="","",[1]Input_monitoring_data!A28)</f>
        <v>4h4x-gp8s-8ehj</v>
      </c>
      <c r="B32" s="22" t="str">
        <f>[1]Input_monitoring_data!BH28</f>
        <v>Ntotroso</v>
      </c>
      <c r="C32" s="22" t="str">
        <f>[1]Input_monitoring_data!BI28</f>
        <v>Manu Shed</v>
      </c>
      <c r="D32" s="22" t="str">
        <f>[1]Input_monitoring_data!P28</f>
        <v>7.0483478415278915</v>
      </c>
      <c r="E32" s="22" t="str">
        <f>[1]Input_monitoring_data!Q28</f>
        <v>-2.356959810054146</v>
      </c>
      <c r="F32" s="22" t="str">
        <f>[1]Input_monitoring_data!V28</f>
        <v>Near The Cocoa Shed</v>
      </c>
      <c r="G32" s="23" t="str">
        <f>[1]Input_monitoring_data!U28</f>
        <v>Borehole</v>
      </c>
      <c r="H32" s="22">
        <f>[1]Input_monitoring_data!X28</f>
        <v>2009</v>
      </c>
      <c r="I32" s="21" t="str">
        <f>[1]Input_monitoring_data!AB28</f>
        <v>Borehole redevelopment</v>
      </c>
      <c r="J32" s="21">
        <f>[1]Input_monitoring_data!AC28</f>
        <v>0</v>
      </c>
      <c r="K32" s="23" t="str">
        <f>[1]Input_monitoring_data!W28</f>
        <v>AfriDev</v>
      </c>
      <c r="L32" s="22">
        <f>[1]Input_monitoring_data!X28</f>
        <v>2009</v>
      </c>
      <c r="M32" s="21">
        <f>IF([1]Input_monitoring_data!BL28&gt;'Point Sources_Asset_Register_'!L32,[1]Input_monitoring_data!BL28,"")</f>
        <v>2014</v>
      </c>
      <c r="N32" s="22" t="str">
        <f>[1]Input_monitoring_data!BQ28</f>
        <v>functional</v>
      </c>
      <c r="O32" s="22">
        <f>[1]Input_monitoring_data!AJ28</f>
        <v>0</v>
      </c>
      <c r="P32" s="23" t="s">
        <v>0</v>
      </c>
      <c r="Q32" s="22">
        <f>L32</f>
        <v>2009</v>
      </c>
      <c r="R32" s="21">
        <f>M32</f>
        <v>2014</v>
      </c>
      <c r="S32" s="20">
        <f>[1]Input_EUL_CRC_ERC!$B$17-Table1[[#This Row],[Year Installed_WL]]</f>
        <v>8</v>
      </c>
      <c r="T32" s="20">
        <f>[1]Input_EUL_CRC_ERC!$B$17-(IF(Table1[[#This Row],[Year Last_Rehab_WL ]]=0,Table1[[#This Row],[Year Installed_WL]],[1]Input_EUL_CRC_ERC!$B$17-Table1[[#This Row],[Year Last_Rehab_WL ]]))</f>
        <v>8</v>
      </c>
      <c r="U32" s="20">
        <f>(VLOOKUP(Table1[[#This Row],[Item_Rehab_WL]],[1]Input_EUL_CRC_ERC!$C$17:$E$27,2,FALSE)-Table1[[#This Row],[Last Rehab Age]])</f>
        <v>7</v>
      </c>
      <c r="V32" s="26">
        <f>[1]Input_EUL_CRC_ERC!$B$17-Table1[[#This Row],[Year Installed_HP]]</f>
        <v>8</v>
      </c>
      <c r="W32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32" s="26">
        <f>[1]Input_EUL_CRC_ERC!$B$17-Table1[[#This Row],[Year Installed_PF]]</f>
        <v>8</v>
      </c>
      <c r="Y32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32" s="25">
        <f>IF(Table1[[#This Row],[Years_Next_Rehab_Well]]&lt;=0,VLOOKUP(Table1[[#This Row],[Item_Rehab_WL]],[1]!Table2[#All],3,FALSE),0)</f>
        <v>0</v>
      </c>
      <c r="AA32" s="25">
        <f>IF(Table1[[#This Row],[Adjusted_ULife_HP]]&lt;=0,VLOOKUP(Table1[[#This Row],[Item_Handpump]],[1]!Table2[#All],3,FALSE),0)</f>
        <v>0</v>
      </c>
      <c r="AB32" s="25">
        <f>IF(Table1[[#This Row],[Adjusted_ULife_PF]]&lt;=0,VLOOKUP(Table1[[#This Row],[Item_Platform]],[1]!Table2[#All],3,FALSE),0)</f>
        <v>0</v>
      </c>
      <c r="AC32" s="25">
        <f>SUM(Table1[[#This Row],[current yr_wl]:[current yr_pf]])</f>
        <v>0</v>
      </c>
      <c r="AD32" s="25">
        <f>IF(Table1[[#This Row],[Years_Next_Rehab_Well]]=1,VLOOKUP(Table1[[#This Row],[Item_Rehab_WL]],[1]!Table2[#All],4,FALSE),0)</f>
        <v>0</v>
      </c>
      <c r="AE32" s="25">
        <f>IF(Table1[[#This Row],[Adjusted_ULife_HP]]=1,VLOOKUP(Table1[[#This Row],[Item_Handpump]],[1]!Table2[#All],4,FALSE),0)</f>
        <v>0</v>
      </c>
      <c r="AF32" s="25">
        <f>IF(Table1[[#This Row],[Adjusted_ULife_PF]]=1,VLOOKUP(Table1[[#This Row],[Item_Platform]],[1]!Table2[#All],4,FALSE),0)</f>
        <v>0</v>
      </c>
      <c r="AG32" s="25">
        <f>SUM(Table1[[#This Row],[yr 1_wl]:[yr 1_pf]])</f>
        <v>0</v>
      </c>
      <c r="AH32" s="25">
        <f>IF(Table1[[#This Row],[Years_Next_Rehab_Well]]=2,VLOOKUP(Table1[[#This Row],[Item_Rehab_WL]],[1]!Table2[#All],5,FALSE),0)</f>
        <v>0</v>
      </c>
      <c r="AI32" s="25">
        <f>IF(Table1[[#This Row],[Adjusted_ULife_HP]]=2,VLOOKUP(Table1[[#This Row],[Item_Handpump]],[1]!Table2[#All],5,FALSE),0)</f>
        <v>0</v>
      </c>
      <c r="AJ32" s="25">
        <f>IF(Table1[[#This Row],[Adjusted_ULife_PF]]=2,VLOOKUP(Table1[[#This Row],[Item_Platform]],[1]!Table2[#All],5,FALSE),0)</f>
        <v>0</v>
      </c>
      <c r="AK32" s="25">
        <f>SUM(Table1[[#This Row],[yr 2_wl]:[yr 2_pf]])</f>
        <v>0</v>
      </c>
      <c r="AL32" s="25">
        <f>IF(Table1[[#This Row],[Years_Next_Rehab_Well]]=3,VLOOKUP(Table1[[#This Row],[Item_Rehab_WL]],[1]!Table2[#All],6,FALSE),0)</f>
        <v>0</v>
      </c>
      <c r="AM32" s="25">
        <f>IF(Table1[[#This Row],[Adjusted_ULife_HP]]=3,VLOOKUP(Table1[[#This Row],[Item_Handpump]],[1]!Table2[#All],6,FALSE),0)</f>
        <v>0</v>
      </c>
      <c r="AN32" s="25">
        <f>IF(Table1[[#This Row],[Adjusted_ULife_PF]]=3,VLOOKUP(Table1[[#This Row],[Item_Platform]],[1]!Table2[#All],6,FALSE),0)</f>
        <v>0</v>
      </c>
      <c r="AO32" s="25">
        <f>SUM(Table1[[#This Row],[yr 3_wl]:[yr 3_pf]])</f>
        <v>0</v>
      </c>
      <c r="AP32" s="25">
        <f>IF(Table1[[#This Row],[Years_Next_Rehab_Well]]=4,VLOOKUP(Table1[[#This Row],[Item_Rehab_WL]],[1]!Table2[#All],7,FALSE),0)</f>
        <v>0</v>
      </c>
      <c r="AQ32" s="25">
        <f>IF(Table1[[#This Row],[Adjusted_ULife_HP]]=4,VLOOKUP(Table1[[#This Row],[Item_Handpump]],[1]!Table2[#All],7,FALSE),0)</f>
        <v>0</v>
      </c>
      <c r="AR32" s="25">
        <f>IF(Table1[[#This Row],[Adjusted_ULife_PF]]=4,VLOOKUP(Table1[[#This Row],[Item_Platform]],[1]!Table2[#All],7,FALSE),0)</f>
        <v>0</v>
      </c>
      <c r="AS32" s="25">
        <f>SUM(Table1[[#This Row],[yr 4_wl]:[yr 4_pf]])</f>
        <v>0</v>
      </c>
      <c r="AT32" s="25">
        <f>IF(Table1[[#This Row],[Years_Next_Rehab_Well]]=5,VLOOKUP(Table1[[#This Row],[Item_Rehab_WL]],[1]!Table2[#All],8,FALSE),0)</f>
        <v>0</v>
      </c>
      <c r="AU32" s="25">
        <f>IF(Table1[[#This Row],[Adjusted_ULife_HP]]=5,VLOOKUP(Table1[[#This Row],[Item_Handpump]],[1]!Table2[#All],8,FALSE),0)</f>
        <v>0</v>
      </c>
      <c r="AV32" s="25">
        <f>IF(Table1[[#This Row],[Adjusted_ULife_PF]]=5,VLOOKUP(Table1[[#This Row],[Item_Platform]],[1]!Table2[#All],8,FALSE),0)</f>
        <v>0</v>
      </c>
      <c r="AW32" s="25">
        <f>SUM(Table1[[#This Row],[yr 5_wl]:[yr 5_pf]])</f>
        <v>0</v>
      </c>
      <c r="AX32" s="25">
        <f>IF(Table1[[#This Row],[Years_Next_Rehab_Well]]=6,VLOOKUP(Table1[[#This Row],[Item_Rehab_WL]],[1]!Table2[#All],9,FALSE),0)</f>
        <v>0</v>
      </c>
      <c r="AY32" s="25">
        <f>IF(Table1[[#This Row],[Adjusted_ULife_HP]]=6,VLOOKUP(Table1[[#This Row],[Item_Handpump]],[1]!Table2[#All],9,FALSE),0)</f>
        <v>0</v>
      </c>
      <c r="AZ32" s="25">
        <f>IF(Table1[[#This Row],[Adjusted_ULife_PF]]=6,VLOOKUP(Table1[[#This Row],[Item_Platform]],[1]!Table2[#All],9,FALSE),0)</f>
        <v>0</v>
      </c>
      <c r="BA32" s="25">
        <f>SUM(Table1[[#This Row],[yr 6_wl]:[yr 6_pf]])</f>
        <v>0</v>
      </c>
      <c r="BB32" s="25">
        <f>IF(Table1[[#This Row],[Years_Next_Rehab_Well]]=7,VLOOKUP(Table1[[#This Row],[Item_Rehab_WL]],[1]!Table2[#All],10,FALSE),0)</f>
        <v>8105.8318271556318</v>
      </c>
      <c r="BC32" s="25">
        <f>IF(Table1[[#This Row],[Adjusted_ULife_HP]]=7,VLOOKUP(Table1[[#This Row],[Item_Handpump]],[1]!Table2[#All],10,FALSE),0)</f>
        <v>0</v>
      </c>
      <c r="BD32" s="25">
        <f>IF(Table1[[#This Row],[Adjusted_ULife_PF]]=7,VLOOKUP(Table1[[#This Row],[Item_Platform]],[1]!Table2[#All],10,FALSE),0)</f>
        <v>3316.0221111091228</v>
      </c>
      <c r="BE32" s="25">
        <f>SUM(Table1[[#This Row],[yr 7_wl]:[yr 7_pf]])</f>
        <v>11421.853938264754</v>
      </c>
      <c r="BF32" s="25">
        <f>IF(Table1[[#This Row],[Years_Next_Rehab_Well]]=8,VLOOKUP(Table1[[#This Row],[Item_Rehab_WL]],[1]!Table2[#All],11,FALSE),0)</f>
        <v>0</v>
      </c>
      <c r="BG32" s="25">
        <f>IF(Table1[[#This Row],[Adjusted_ULife_HP]]=8,VLOOKUP(Table1[[#This Row],[Item_Handpump]],[1]!Table2[#All],11,FALSE),0)</f>
        <v>0</v>
      </c>
      <c r="BH32" s="25">
        <f>IF(Table1[[#This Row],[Adjusted_ULife_PF]]=8,VLOOKUP(Table1[[#This Row],[Item_Platform]],[1]!Table2[#All],11,FALSE),0)</f>
        <v>0</v>
      </c>
      <c r="BI32" s="25">
        <f>SUM(Table1[[#This Row],[yr 8_wl]:[yr 8_pf]])</f>
        <v>0</v>
      </c>
      <c r="BJ32" s="25">
        <f>IF(Table1[[#This Row],[Years_Next_Rehab_Well]]=9,VLOOKUP(Table1[[#This Row],[Item_Rehab_WL]],[1]!Table2[#All],12,FALSE),0)</f>
        <v>0</v>
      </c>
      <c r="BK32" s="25">
        <f>IF(Table1[[#This Row],[Adjusted_ULife_HP]]=9,VLOOKUP(Table1[[#This Row],[Item_Handpump]],[1]!Table2[#All],12,FALSE),0)</f>
        <v>0</v>
      </c>
      <c r="BL32" s="25">
        <f>IF(Table1[[#This Row],[Adjusted_ULife_PF]]=9,VLOOKUP(Table1[[#This Row],[Item_Platform]],[1]!Table2[#All],12,FALSE),0)</f>
        <v>0</v>
      </c>
      <c r="BM32" s="25">
        <f>SUM(Table1[[#This Row],[yr 9_wl]:[yr 9_pf]])</f>
        <v>0</v>
      </c>
      <c r="BN32" s="25">
        <f>IF(Table1[[#This Row],[Years_Next_Rehab_Well]]=10,VLOOKUP(Table1[[#This Row],[Item_Rehab_WL]],[1]!Table2[#All],13,FALSE),0)</f>
        <v>0</v>
      </c>
      <c r="BO32" s="25">
        <f>IF(Table1[[#This Row],[Adjusted_ULife_HP]]=10,VLOOKUP(Table1[[#This Row],[Item_Handpump]],[1]!Table2[#All],13,FALSE),0)</f>
        <v>0</v>
      </c>
      <c r="BP32" s="25">
        <f>IF(Table1[[#This Row],[Adjusted_ULife_PF]]=10,VLOOKUP(Table1[[#This Row],[Item_Platform]],[1]!Table2[#All],13,FALSE),0)</f>
        <v>0</v>
      </c>
      <c r="BQ32" s="25">
        <f>SUM(Table1[[#This Row],[yr 10_wl]:[yr 10_pf]])</f>
        <v>0</v>
      </c>
      <c r="BR32" s="25">
        <f>IF(Table1[[#This Row],[Years_Next_Rehab_Well]]=11,VLOOKUP(Table1[[#This Row],[Item_Rehab_WL]],[1]!Table2[#All],14,FALSE),0)</f>
        <v>0</v>
      </c>
      <c r="BS32" s="25">
        <f>IF(Table1[[#This Row],[Adjusted_ULife_HP]]=11,VLOOKUP(Table1[[#This Row],[Item_Handpump]],[1]!Table2[#All],14,FALSE),0)</f>
        <v>0</v>
      </c>
      <c r="BT32" s="25">
        <f>IF(Table1[[#This Row],[Adjusted_ULife_PF]]=11,VLOOKUP(Table1[[#This Row],[Item_Platform]],[1]!Table2[#All],14,FALSE),0)</f>
        <v>0</v>
      </c>
      <c r="BU32" s="25">
        <f>SUM(Table1[[#This Row],[yr 11_wl]:[yr 11_pf]])</f>
        <v>0</v>
      </c>
      <c r="BV32" s="25">
        <f>IF(Table1[[#This Row],[Years_Next_Rehab_Well]]=12,VLOOKUP(Table1[[#This Row],[Item_Rehab_WL]],[1]!Table2[#All],15,FALSE),0)</f>
        <v>0</v>
      </c>
      <c r="BW32" s="25">
        <f>IF(Table1[[#This Row],[Adjusted_ULife_HP]]=12,VLOOKUP(Table1[[#This Row],[Item_Handpump]],[1]!Table2[#All],15,FALSE),0)</f>
        <v>0</v>
      </c>
      <c r="BX32" s="25">
        <f>IF(Table1[[#This Row],[Adjusted_ULife_PF]]=12,VLOOKUP(Table1[[#This Row],[Item_Platform]],[1]!Table2[#All],15,FALSE),0)</f>
        <v>0</v>
      </c>
      <c r="BY32" s="25">
        <f>SUM(Table1[[#This Row],[yr 12_wl]:[yr 12_pf]])</f>
        <v>0</v>
      </c>
      <c r="BZ32" s="25">
        <f>IF(Table1[[#This Row],[Years_Next_Rehab_Well]]=13,VLOOKUP(Table1[[#This Row],[Item_Rehab_WL]],[1]!Table2[#All],16,FALSE),0)</f>
        <v>0</v>
      </c>
      <c r="CA32" s="25">
        <f>IF(Table1[[#This Row],[Adjusted_ULife_HP]]=13,VLOOKUP(Table1[[#This Row],[Item_Handpump]],[1]!Table2[#All],16,FALSE),0)</f>
        <v>0</v>
      </c>
      <c r="CB32" s="25">
        <f>IF(Table1[[#This Row],[Adjusted_ULife_PF]]=13,VLOOKUP(Table1[[#This Row],[Item_Platform]],[1]!Table2[#All],16,FALSE),0)</f>
        <v>0</v>
      </c>
      <c r="CC32" s="25">
        <f>SUM(Table1[[#This Row],[yr 13_wl]:[yr 13_pf]])</f>
        <v>0</v>
      </c>
      <c r="CD32" s="12"/>
    </row>
    <row r="33" spans="1:82" s="11" customFormat="1" x14ac:dyDescent="0.25">
      <c r="A33" s="11" t="str">
        <f>IF([1]Input_monitoring_data!A29="","",[1]Input_monitoring_data!A29)</f>
        <v>4net-j54h-m2a9</v>
      </c>
      <c r="B33" s="22" t="str">
        <f>[1]Input_monitoring_data!BH29</f>
        <v>KENYASI NO.2</v>
      </c>
      <c r="C33" s="22" t="str">
        <f>[1]Input_monitoring_data!BI29</f>
        <v>BYEPASS</v>
      </c>
      <c r="D33" s="22" t="str">
        <f>[1]Input_monitoring_data!P29</f>
        <v>6.988086748168818</v>
      </c>
      <c r="E33" s="22" t="str">
        <f>[1]Input_monitoring_data!Q29</f>
        <v>-2.38155281868395</v>
      </c>
      <c r="F33" s="22" t="str">
        <f>[1]Input_monitoring_data!V29</f>
        <v>opposite bypass</v>
      </c>
      <c r="G33" s="23" t="str">
        <f>[1]Input_monitoring_data!U29</f>
        <v>Borehole</v>
      </c>
      <c r="H33" s="22">
        <f>[1]Input_monitoring_data!X29</f>
        <v>2014</v>
      </c>
      <c r="I33" s="21" t="str">
        <f>[1]Input_monitoring_data!AB29</f>
        <v>Borehole redevelopment</v>
      </c>
      <c r="J33" s="21">
        <f>[1]Input_monitoring_data!AC29</f>
        <v>0</v>
      </c>
      <c r="K33" s="23" t="str">
        <f>[1]Input_monitoring_data!W29</f>
        <v>AfriDev</v>
      </c>
      <c r="L33" s="22">
        <f>[1]Input_monitoring_data!X29</f>
        <v>2014</v>
      </c>
      <c r="M33" s="21" t="str">
        <f>IF([1]Input_monitoring_data!BL29&gt;'Point Sources_Asset_Register_'!L33,[1]Input_monitoring_data!BL29,"")</f>
        <v/>
      </c>
      <c r="N33" s="22" t="str">
        <f>[1]Input_monitoring_data!BQ29</f>
        <v>functional</v>
      </c>
      <c r="O33" s="22">
        <f>[1]Input_monitoring_data!AJ29</f>
        <v>0</v>
      </c>
      <c r="P33" s="23" t="s">
        <v>0</v>
      </c>
      <c r="Q33" s="22">
        <f>L33</f>
        <v>2014</v>
      </c>
      <c r="R33" s="21" t="str">
        <f>M33</f>
        <v/>
      </c>
      <c r="S33" s="20">
        <f>[1]Input_EUL_CRC_ERC!$B$17-Table1[[#This Row],[Year Installed_WL]]</f>
        <v>3</v>
      </c>
      <c r="T33" s="20">
        <f>[1]Input_EUL_CRC_ERC!$B$17-(IF(Table1[[#This Row],[Year Last_Rehab_WL ]]=0,Table1[[#This Row],[Year Installed_WL]],[1]Input_EUL_CRC_ERC!$B$17-Table1[[#This Row],[Year Last_Rehab_WL ]]))</f>
        <v>3</v>
      </c>
      <c r="U33" s="20">
        <f>(VLOOKUP(Table1[[#This Row],[Item_Rehab_WL]],[1]Input_EUL_CRC_ERC!$C$17:$E$27,2,FALSE)-Table1[[#This Row],[Last Rehab Age]])</f>
        <v>12</v>
      </c>
      <c r="V33" s="26">
        <f>[1]Input_EUL_CRC_ERC!$B$17-Table1[[#This Row],[Year Installed_HP]]</f>
        <v>3</v>
      </c>
      <c r="W33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33" s="26">
        <f>[1]Input_EUL_CRC_ERC!$B$17-Table1[[#This Row],[Year Installed_PF]]</f>
        <v>3</v>
      </c>
      <c r="Y33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33" s="25">
        <f>IF(Table1[[#This Row],[Years_Next_Rehab_Well]]&lt;=0,VLOOKUP(Table1[[#This Row],[Item_Rehab_WL]],[1]!Table2[#All],3,FALSE),0)</f>
        <v>0</v>
      </c>
      <c r="AA33" s="25">
        <f>IF(Table1[[#This Row],[Adjusted_ULife_HP]]&lt;=0,VLOOKUP(Table1[[#This Row],[Item_Handpump]],[1]!Table2[#All],3,FALSE),0)</f>
        <v>0</v>
      </c>
      <c r="AB33" s="25">
        <f>IF(Table1[[#This Row],[Adjusted_ULife_PF]]&lt;=0,VLOOKUP(Table1[[#This Row],[Item_Platform]],[1]!Table2[#All],3,FALSE),0)</f>
        <v>0</v>
      </c>
      <c r="AC33" s="25">
        <f>SUM(Table1[[#This Row],[current yr_wl]:[current yr_pf]])</f>
        <v>0</v>
      </c>
      <c r="AD33" s="25">
        <f>IF(Table1[[#This Row],[Years_Next_Rehab_Well]]=1,VLOOKUP(Table1[[#This Row],[Item_Rehab_WL]],[1]!Table2[#All],4,FALSE),0)</f>
        <v>0</v>
      </c>
      <c r="AE33" s="25">
        <f>IF(Table1[[#This Row],[Adjusted_ULife_HP]]=1,VLOOKUP(Table1[[#This Row],[Item_Handpump]],[1]!Table2[#All],4,FALSE),0)</f>
        <v>0</v>
      </c>
      <c r="AF33" s="25">
        <f>IF(Table1[[#This Row],[Adjusted_ULife_PF]]=1,VLOOKUP(Table1[[#This Row],[Item_Platform]],[1]!Table2[#All],4,FALSE),0)</f>
        <v>0</v>
      </c>
      <c r="AG33" s="25">
        <f>SUM(Table1[[#This Row],[yr 1_wl]:[yr 1_pf]])</f>
        <v>0</v>
      </c>
      <c r="AH33" s="25">
        <f>IF(Table1[[#This Row],[Years_Next_Rehab_Well]]=2,VLOOKUP(Table1[[#This Row],[Item_Rehab_WL]],[1]!Table2[#All],5,FALSE),0)</f>
        <v>0</v>
      </c>
      <c r="AI33" s="25">
        <f>IF(Table1[[#This Row],[Adjusted_ULife_HP]]=2,VLOOKUP(Table1[[#This Row],[Item_Handpump]],[1]!Table2[#All],5,FALSE),0)</f>
        <v>0</v>
      </c>
      <c r="AJ33" s="25">
        <f>IF(Table1[[#This Row],[Adjusted_ULife_PF]]=2,VLOOKUP(Table1[[#This Row],[Item_Platform]],[1]!Table2[#All],5,FALSE),0)</f>
        <v>0</v>
      </c>
      <c r="AK33" s="25">
        <f>SUM(Table1[[#This Row],[yr 2_wl]:[yr 2_pf]])</f>
        <v>0</v>
      </c>
      <c r="AL33" s="25">
        <f>IF(Table1[[#This Row],[Years_Next_Rehab_Well]]=3,VLOOKUP(Table1[[#This Row],[Item_Rehab_WL]],[1]!Table2[#All],6,FALSE),0)</f>
        <v>0</v>
      </c>
      <c r="AM33" s="25">
        <f>IF(Table1[[#This Row],[Adjusted_ULife_HP]]=3,VLOOKUP(Table1[[#This Row],[Item_Handpump]],[1]!Table2[#All],6,FALSE),0)</f>
        <v>0</v>
      </c>
      <c r="AN33" s="25">
        <f>IF(Table1[[#This Row],[Adjusted_ULife_PF]]=3,VLOOKUP(Table1[[#This Row],[Item_Platform]],[1]!Table2[#All],6,FALSE),0)</f>
        <v>0</v>
      </c>
      <c r="AO33" s="25">
        <f>SUM(Table1[[#This Row],[yr 3_wl]:[yr 3_pf]])</f>
        <v>0</v>
      </c>
      <c r="AP33" s="25">
        <f>IF(Table1[[#This Row],[Years_Next_Rehab_Well]]=4,VLOOKUP(Table1[[#This Row],[Item_Rehab_WL]],[1]!Table2[#All],7,FALSE),0)</f>
        <v>0</v>
      </c>
      <c r="AQ33" s="25">
        <f>IF(Table1[[#This Row],[Adjusted_ULife_HP]]=4,VLOOKUP(Table1[[#This Row],[Item_Handpump]],[1]!Table2[#All],7,FALSE),0)</f>
        <v>0</v>
      </c>
      <c r="AR33" s="25">
        <f>IF(Table1[[#This Row],[Adjusted_ULife_PF]]=4,VLOOKUP(Table1[[#This Row],[Item_Platform]],[1]!Table2[#All],7,FALSE),0)</f>
        <v>0</v>
      </c>
      <c r="AS33" s="25">
        <f>SUM(Table1[[#This Row],[yr 4_wl]:[yr 4_pf]])</f>
        <v>0</v>
      </c>
      <c r="AT33" s="25">
        <f>IF(Table1[[#This Row],[Years_Next_Rehab_Well]]=5,VLOOKUP(Table1[[#This Row],[Item_Rehab_WL]],[1]!Table2[#All],8,FALSE),0)</f>
        <v>0</v>
      </c>
      <c r="AU33" s="25">
        <f>IF(Table1[[#This Row],[Adjusted_ULife_HP]]=5,VLOOKUP(Table1[[#This Row],[Item_Handpump]],[1]!Table2[#All],8,FALSE),0)</f>
        <v>0</v>
      </c>
      <c r="AV33" s="25">
        <f>IF(Table1[[#This Row],[Adjusted_ULife_PF]]=5,VLOOKUP(Table1[[#This Row],[Item_Platform]],[1]!Table2[#All],8,FALSE),0)</f>
        <v>0</v>
      </c>
      <c r="AW33" s="25">
        <f>SUM(Table1[[#This Row],[yr 5_wl]:[yr 5_pf]])</f>
        <v>0</v>
      </c>
      <c r="AX33" s="25">
        <f>IF(Table1[[#This Row],[Years_Next_Rehab_Well]]=6,VLOOKUP(Table1[[#This Row],[Item_Rehab_WL]],[1]!Table2[#All],9,FALSE),0)</f>
        <v>0</v>
      </c>
      <c r="AY33" s="25">
        <f>IF(Table1[[#This Row],[Adjusted_ULife_HP]]=6,VLOOKUP(Table1[[#This Row],[Item_Handpump]],[1]!Table2[#All],9,FALSE),0)</f>
        <v>0</v>
      </c>
      <c r="AZ33" s="25">
        <f>IF(Table1[[#This Row],[Adjusted_ULife_PF]]=6,VLOOKUP(Table1[[#This Row],[Item_Platform]],[1]!Table2[#All],9,FALSE),0)</f>
        <v>0</v>
      </c>
      <c r="BA33" s="25">
        <f>SUM(Table1[[#This Row],[yr 6_wl]:[yr 6_pf]])</f>
        <v>0</v>
      </c>
      <c r="BB33" s="25">
        <f>IF(Table1[[#This Row],[Years_Next_Rehab_Well]]=7,VLOOKUP(Table1[[#This Row],[Item_Rehab_WL]],[1]!Table2[#All],10,FALSE),0)</f>
        <v>0</v>
      </c>
      <c r="BC33" s="25">
        <f>IF(Table1[[#This Row],[Adjusted_ULife_HP]]=7,VLOOKUP(Table1[[#This Row],[Item_Handpump]],[1]!Table2[#All],10,FALSE),0)</f>
        <v>0</v>
      </c>
      <c r="BD33" s="25">
        <f>IF(Table1[[#This Row],[Adjusted_ULife_PF]]=7,VLOOKUP(Table1[[#This Row],[Item_Platform]],[1]!Table2[#All],10,FALSE),0)</f>
        <v>3316.0221111091228</v>
      </c>
      <c r="BE33" s="25">
        <f>SUM(Table1[[#This Row],[yr 7_wl]:[yr 7_pf]])</f>
        <v>3316.0221111091228</v>
      </c>
      <c r="BF33" s="25">
        <f>IF(Table1[[#This Row],[Years_Next_Rehab_Well]]=8,VLOOKUP(Table1[[#This Row],[Item_Rehab_WL]],[1]!Table2[#All],11,FALSE),0)</f>
        <v>0</v>
      </c>
      <c r="BG33" s="25">
        <f>IF(Table1[[#This Row],[Adjusted_ULife_HP]]=8,VLOOKUP(Table1[[#This Row],[Item_Handpump]],[1]!Table2[#All],11,FALSE),0)</f>
        <v>0</v>
      </c>
      <c r="BH33" s="25">
        <f>IF(Table1[[#This Row],[Adjusted_ULife_PF]]=8,VLOOKUP(Table1[[#This Row],[Item_Platform]],[1]!Table2[#All],11,FALSE),0)</f>
        <v>0</v>
      </c>
      <c r="BI33" s="25">
        <f>SUM(Table1[[#This Row],[yr 8_wl]:[yr 8_pf]])</f>
        <v>0</v>
      </c>
      <c r="BJ33" s="25">
        <f>IF(Table1[[#This Row],[Years_Next_Rehab_Well]]=9,VLOOKUP(Table1[[#This Row],[Item_Rehab_WL]],[1]!Table2[#All],12,FALSE),0)</f>
        <v>0</v>
      </c>
      <c r="BK33" s="25">
        <f>IF(Table1[[#This Row],[Adjusted_ULife_HP]]=9,VLOOKUP(Table1[[#This Row],[Item_Handpump]],[1]!Table2[#All],12,FALSE),0)</f>
        <v>0</v>
      </c>
      <c r="BL33" s="25">
        <f>IF(Table1[[#This Row],[Adjusted_ULife_PF]]=9,VLOOKUP(Table1[[#This Row],[Item_Platform]],[1]!Table2[#All],12,FALSE),0)</f>
        <v>0</v>
      </c>
      <c r="BM33" s="25">
        <f>SUM(Table1[[#This Row],[yr 9_wl]:[yr 9_pf]])</f>
        <v>0</v>
      </c>
      <c r="BN33" s="25">
        <f>IF(Table1[[#This Row],[Years_Next_Rehab_Well]]=10,VLOOKUP(Table1[[#This Row],[Item_Rehab_WL]],[1]!Table2[#All],13,FALSE),0)</f>
        <v>0</v>
      </c>
      <c r="BO33" s="25">
        <f>IF(Table1[[#This Row],[Adjusted_ULife_HP]]=10,VLOOKUP(Table1[[#This Row],[Item_Handpump]],[1]!Table2[#All],13,FALSE),0)</f>
        <v>0</v>
      </c>
      <c r="BP33" s="25">
        <f>IF(Table1[[#This Row],[Adjusted_ULife_PF]]=10,VLOOKUP(Table1[[#This Row],[Item_Platform]],[1]!Table2[#All],13,FALSE),0)</f>
        <v>0</v>
      </c>
      <c r="BQ33" s="25">
        <f>SUM(Table1[[#This Row],[yr 10_wl]:[yr 10_pf]])</f>
        <v>0</v>
      </c>
      <c r="BR33" s="25">
        <f>IF(Table1[[#This Row],[Years_Next_Rehab_Well]]=11,VLOOKUP(Table1[[#This Row],[Item_Rehab_WL]],[1]!Table2[#All],14,FALSE),0)</f>
        <v>0</v>
      </c>
      <c r="BS33" s="25">
        <f>IF(Table1[[#This Row],[Adjusted_ULife_HP]]=11,VLOOKUP(Table1[[#This Row],[Item_Handpump]],[1]!Table2[#All],14,FALSE),0)</f>
        <v>0</v>
      </c>
      <c r="BT33" s="25">
        <f>IF(Table1[[#This Row],[Adjusted_ULife_PF]]=11,VLOOKUP(Table1[[#This Row],[Item_Platform]],[1]!Table2[#All],14,FALSE),0)</f>
        <v>0</v>
      </c>
      <c r="BU33" s="25">
        <f>SUM(Table1[[#This Row],[yr 11_wl]:[yr 11_pf]])</f>
        <v>0</v>
      </c>
      <c r="BV33" s="25">
        <f>IF(Table1[[#This Row],[Years_Next_Rehab_Well]]=12,VLOOKUP(Table1[[#This Row],[Item_Rehab_WL]],[1]!Table2[#All],15,FALSE),0)</f>
        <v>14285.245306005596</v>
      </c>
      <c r="BW33" s="25">
        <f>IF(Table1[[#This Row],[Adjusted_ULife_HP]]=12,VLOOKUP(Table1[[#This Row],[Item_Handpump]],[1]!Table2[#All],15,FALSE),0)</f>
        <v>0</v>
      </c>
      <c r="BX33" s="25">
        <f>IF(Table1[[#This Row],[Adjusted_ULife_PF]]=12,VLOOKUP(Table1[[#This Row],[Item_Platform]],[1]!Table2[#All],15,FALSE),0)</f>
        <v>0</v>
      </c>
      <c r="BY33" s="25">
        <f>SUM(Table1[[#This Row],[yr 12_wl]:[yr 12_pf]])</f>
        <v>14285.245306005596</v>
      </c>
      <c r="BZ33" s="25">
        <f>IF(Table1[[#This Row],[Years_Next_Rehab_Well]]=13,VLOOKUP(Table1[[#This Row],[Item_Rehab_WL]],[1]!Table2[#All],16,FALSE),0)</f>
        <v>0</v>
      </c>
      <c r="CA33" s="25">
        <f>IF(Table1[[#This Row],[Adjusted_ULife_HP]]=13,VLOOKUP(Table1[[#This Row],[Item_Handpump]],[1]!Table2[#All],16,FALSE),0)</f>
        <v>0</v>
      </c>
      <c r="CB33" s="25">
        <f>IF(Table1[[#This Row],[Adjusted_ULife_PF]]=13,VLOOKUP(Table1[[#This Row],[Item_Platform]],[1]!Table2[#All],16,FALSE),0)</f>
        <v>0</v>
      </c>
      <c r="CC33" s="25">
        <f>SUM(Table1[[#This Row],[yr 13_wl]:[yr 13_pf]])</f>
        <v>0</v>
      </c>
      <c r="CD33" s="12"/>
    </row>
    <row r="34" spans="1:82" s="11" customFormat="1" x14ac:dyDescent="0.25">
      <c r="A34" s="11" t="str">
        <f>IF([1]Input_monitoring_data!A30="","",[1]Input_monitoring_data!A30)</f>
        <v>4pw2-09u8-et8q</v>
      </c>
      <c r="B34" s="22" t="str">
        <f>[1]Input_monitoring_data!BH30</f>
        <v>Goamu</v>
      </c>
      <c r="C34" s="22" t="str">
        <f>[1]Input_monitoring_data!BI30</f>
        <v>Goamu Koforidua</v>
      </c>
      <c r="D34" s="22" t="str">
        <f>[1]Input_monitoring_data!P30</f>
        <v>7.058194000752721</v>
      </c>
      <c r="E34" s="22" t="str">
        <f>[1]Input_monitoring_data!Q30</f>
        <v>-2.4988794355742443</v>
      </c>
      <c r="F34" s="22" t="str">
        <f>[1]Input_monitoring_data!V30</f>
        <v>Along Asamang Road</v>
      </c>
      <c r="G34" s="23" t="str">
        <f>[1]Input_monitoring_data!U30</f>
        <v>Borehole</v>
      </c>
      <c r="H34" s="22">
        <f>[1]Input_monitoring_data!X30</f>
        <v>1987</v>
      </c>
      <c r="I34" s="21" t="str">
        <f>[1]Input_monitoring_data!AB30</f>
        <v>Borehole redevelopment</v>
      </c>
      <c r="J34" s="21">
        <f>[1]Input_monitoring_data!AC30</f>
        <v>0</v>
      </c>
      <c r="K34" s="23" t="str">
        <f>[1]Input_monitoring_data!W30</f>
        <v>Ghana modified India Mark II</v>
      </c>
      <c r="L34" s="22">
        <f>[1]Input_monitoring_data!X30</f>
        <v>1987</v>
      </c>
      <c r="M34" s="21">
        <f>IF([1]Input_monitoring_data!BL30&gt;'Point Sources_Asset_Register_'!L34,[1]Input_monitoring_data!BL30,"")</f>
        <v>2017</v>
      </c>
      <c r="N34" s="22" t="str">
        <f>[1]Input_monitoring_data!BQ30</f>
        <v>functional</v>
      </c>
      <c r="O34" s="22">
        <f>[1]Input_monitoring_data!AJ30</f>
        <v>0</v>
      </c>
      <c r="P34" s="23" t="s">
        <v>0</v>
      </c>
      <c r="Q34" s="22">
        <f>L34</f>
        <v>1987</v>
      </c>
      <c r="R34" s="21">
        <f>M34</f>
        <v>2017</v>
      </c>
      <c r="S34" s="20">
        <f>[1]Input_EUL_CRC_ERC!$B$17-Table1[[#This Row],[Year Installed_WL]]</f>
        <v>30</v>
      </c>
      <c r="T34" s="20">
        <f>[1]Input_EUL_CRC_ERC!$B$17-(IF(Table1[[#This Row],[Year Last_Rehab_WL ]]=0,Table1[[#This Row],[Year Installed_WL]],[1]Input_EUL_CRC_ERC!$B$17-Table1[[#This Row],[Year Last_Rehab_WL ]]))</f>
        <v>30</v>
      </c>
      <c r="U34" s="20">
        <f>(VLOOKUP(Table1[[#This Row],[Item_Rehab_WL]],[1]Input_EUL_CRC_ERC!$C$17:$E$27,2,FALSE)-Table1[[#This Row],[Last Rehab Age]])</f>
        <v>-15</v>
      </c>
      <c r="V34" s="19">
        <f>[1]Input_EUL_CRC_ERC!$B$17-Table1[[#This Row],[Year Installed_HP]]</f>
        <v>30</v>
      </c>
      <c r="W34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34" s="19">
        <f>[1]Input_EUL_CRC_ERC!$B$17-Table1[[#This Row],[Year Installed_PF]]</f>
        <v>30</v>
      </c>
      <c r="Y34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34" s="25">
        <f>IF(Table1[[#This Row],[Years_Next_Rehab_Well]]&lt;=0,VLOOKUP(Table1[[#This Row],[Item_Rehab_WL]],[1]!Table2[#All],3,FALSE),0)</f>
        <v>3666.6666666666665</v>
      </c>
      <c r="AA34" s="18">
        <f>IF(Table1[[#This Row],[Adjusted_ULife_HP]]&lt;=0,VLOOKUP(Table1[[#This Row],[Item_Handpump]],[1]!Table2[#All],3,FALSE),0)</f>
        <v>0</v>
      </c>
      <c r="AB34" s="18">
        <f>IF(Table1[[#This Row],[Adjusted_ULife_PF]]&lt;=0,VLOOKUP(Table1[[#This Row],[Item_Platform]],[1]!Table2[#All],3,FALSE),0)</f>
        <v>0</v>
      </c>
      <c r="AC34" s="18">
        <f>SUM(Table1[[#This Row],[current yr_wl]:[current yr_pf]])</f>
        <v>3666.6666666666665</v>
      </c>
      <c r="AD34" s="25">
        <f>IF(Table1[[#This Row],[Years_Next_Rehab_Well]]=1,VLOOKUP(Table1[[#This Row],[Item_Rehab_WL]],[1]!Table2[#All],4,FALSE),0)</f>
        <v>0</v>
      </c>
      <c r="AE34" s="25">
        <f>IF(Table1[[#This Row],[Adjusted_ULife_HP]]=1,VLOOKUP(Table1[[#This Row],[Item_Handpump]],[1]!Table2[#All],4,FALSE),0)</f>
        <v>0</v>
      </c>
      <c r="AF34" s="25">
        <f>IF(Table1[[#This Row],[Adjusted_ULife_PF]]=1,VLOOKUP(Table1[[#This Row],[Item_Platform]],[1]!Table2[#All],4,FALSE),0)</f>
        <v>0</v>
      </c>
      <c r="AG34" s="25">
        <f>SUM(Table1[[#This Row],[yr 1_wl]:[yr 1_pf]])</f>
        <v>0</v>
      </c>
      <c r="AH34" s="25">
        <f>IF(Table1[[#This Row],[Years_Next_Rehab_Well]]=2,VLOOKUP(Table1[[#This Row],[Item_Rehab_WL]],[1]!Table2[#All],5,FALSE),0)</f>
        <v>0</v>
      </c>
      <c r="AI34" s="25">
        <f>IF(Table1[[#This Row],[Adjusted_ULife_HP]]=2,VLOOKUP(Table1[[#This Row],[Item_Handpump]],[1]!Table2[#All],5,FALSE),0)</f>
        <v>0</v>
      </c>
      <c r="AJ34" s="25">
        <f>IF(Table1[[#This Row],[Adjusted_ULife_PF]]=2,VLOOKUP(Table1[[#This Row],[Item_Platform]],[1]!Table2[#All],5,FALSE),0)</f>
        <v>0</v>
      </c>
      <c r="AK34" s="25">
        <f>SUM(Table1[[#This Row],[yr 2_wl]:[yr 2_pf]])</f>
        <v>0</v>
      </c>
      <c r="AL34" s="25">
        <f>IF(Table1[[#This Row],[Years_Next_Rehab_Well]]=3,VLOOKUP(Table1[[#This Row],[Item_Rehab_WL]],[1]!Table2[#All],6,FALSE),0)</f>
        <v>0</v>
      </c>
      <c r="AM34" s="25">
        <f>IF(Table1[[#This Row],[Adjusted_ULife_HP]]=3,VLOOKUP(Table1[[#This Row],[Item_Handpump]],[1]!Table2[#All],6,FALSE),0)</f>
        <v>0</v>
      </c>
      <c r="AN34" s="25">
        <f>IF(Table1[[#This Row],[Adjusted_ULife_PF]]=3,VLOOKUP(Table1[[#This Row],[Item_Platform]],[1]!Table2[#All],6,FALSE),0)</f>
        <v>0</v>
      </c>
      <c r="AO34" s="25">
        <f>SUM(Table1[[#This Row],[yr 3_wl]:[yr 3_pf]])</f>
        <v>0</v>
      </c>
      <c r="AP34" s="25">
        <f>IF(Table1[[#This Row],[Years_Next_Rehab_Well]]=4,VLOOKUP(Table1[[#This Row],[Item_Rehab_WL]],[1]!Table2[#All],7,FALSE),0)</f>
        <v>0</v>
      </c>
      <c r="AQ34" s="25">
        <f>IF(Table1[[#This Row],[Adjusted_ULife_HP]]=4,VLOOKUP(Table1[[#This Row],[Item_Handpump]],[1]!Table2[#All],7,FALSE),0)</f>
        <v>0</v>
      </c>
      <c r="AR34" s="25">
        <f>IF(Table1[[#This Row],[Adjusted_ULife_PF]]=4,VLOOKUP(Table1[[#This Row],[Item_Platform]],[1]!Table2[#All],7,FALSE),0)</f>
        <v>0</v>
      </c>
      <c r="AS34" s="25">
        <f>SUM(Table1[[#This Row],[yr 4_wl]:[yr 4_pf]])</f>
        <v>0</v>
      </c>
      <c r="AT34" s="25">
        <f>IF(Table1[[#This Row],[Years_Next_Rehab_Well]]=5,VLOOKUP(Table1[[#This Row],[Item_Rehab_WL]],[1]!Table2[#All],8,FALSE),0)</f>
        <v>0</v>
      </c>
      <c r="AU34" s="25">
        <f>IF(Table1[[#This Row],[Adjusted_ULife_HP]]=5,VLOOKUP(Table1[[#This Row],[Item_Handpump]],[1]!Table2[#All],8,FALSE),0)</f>
        <v>0</v>
      </c>
      <c r="AV34" s="25">
        <f>IF(Table1[[#This Row],[Adjusted_ULife_PF]]=5,VLOOKUP(Table1[[#This Row],[Item_Platform]],[1]!Table2[#All],8,FALSE),0)</f>
        <v>0</v>
      </c>
      <c r="AW34" s="25">
        <f>SUM(Table1[[#This Row],[yr 5_wl]:[yr 5_pf]])</f>
        <v>0</v>
      </c>
      <c r="AX34" s="25">
        <f>IF(Table1[[#This Row],[Years_Next_Rehab_Well]]=6,VLOOKUP(Table1[[#This Row],[Item_Rehab_WL]],[1]!Table2[#All],9,FALSE),0)</f>
        <v>0</v>
      </c>
      <c r="AY34" s="25">
        <f>IF(Table1[[#This Row],[Adjusted_ULife_HP]]=6,VLOOKUP(Table1[[#This Row],[Item_Handpump]],[1]!Table2[#All],9,FALSE),0)</f>
        <v>0</v>
      </c>
      <c r="AZ34" s="25">
        <f>IF(Table1[[#This Row],[Adjusted_ULife_PF]]=6,VLOOKUP(Table1[[#This Row],[Item_Platform]],[1]!Table2[#All],9,FALSE),0)</f>
        <v>0</v>
      </c>
      <c r="BA34" s="25">
        <f>SUM(Table1[[#This Row],[yr 6_wl]:[yr 6_pf]])</f>
        <v>0</v>
      </c>
      <c r="BB34" s="25">
        <f>IF(Table1[[#This Row],[Years_Next_Rehab_Well]]=7,VLOOKUP(Table1[[#This Row],[Item_Rehab_WL]],[1]!Table2[#All],10,FALSE),0)</f>
        <v>0</v>
      </c>
      <c r="BC34" s="25">
        <f>IF(Table1[[#This Row],[Adjusted_ULife_HP]]=7,VLOOKUP(Table1[[#This Row],[Item_Handpump]],[1]!Table2[#All],10,FALSE),0)</f>
        <v>0</v>
      </c>
      <c r="BD34" s="25">
        <f>IF(Table1[[#This Row],[Adjusted_ULife_PF]]=7,VLOOKUP(Table1[[#This Row],[Item_Platform]],[1]!Table2[#All],10,FALSE),0)</f>
        <v>0</v>
      </c>
      <c r="BE34" s="25">
        <f>SUM(Table1[[#This Row],[yr 7_wl]:[yr 7_pf]])</f>
        <v>0</v>
      </c>
      <c r="BF34" s="25">
        <f>IF(Table1[[#This Row],[Years_Next_Rehab_Well]]=8,VLOOKUP(Table1[[#This Row],[Item_Rehab_WL]],[1]!Table2[#All],11,FALSE),0)</f>
        <v>0</v>
      </c>
      <c r="BG34" s="25">
        <f>IF(Table1[[#This Row],[Adjusted_ULife_HP]]=8,VLOOKUP(Table1[[#This Row],[Item_Handpump]],[1]!Table2[#All],11,FALSE),0)</f>
        <v>0</v>
      </c>
      <c r="BH34" s="25">
        <f>IF(Table1[[#This Row],[Adjusted_ULife_PF]]=8,VLOOKUP(Table1[[#This Row],[Item_Platform]],[1]!Table2[#All],11,FALSE),0)</f>
        <v>0</v>
      </c>
      <c r="BI34" s="25">
        <f>SUM(Table1[[#This Row],[yr 8_wl]:[yr 8_pf]])</f>
        <v>0</v>
      </c>
      <c r="BJ34" s="25">
        <f>IF(Table1[[#This Row],[Years_Next_Rehab_Well]]=9,VLOOKUP(Table1[[#This Row],[Item_Rehab_WL]],[1]!Table2[#All],12,FALSE),0)</f>
        <v>0</v>
      </c>
      <c r="BK34" s="25">
        <f>IF(Table1[[#This Row],[Adjusted_ULife_HP]]=9,VLOOKUP(Table1[[#This Row],[Item_Handpump]],[1]!Table2[#All],12,FALSE),0)</f>
        <v>0</v>
      </c>
      <c r="BL34" s="25">
        <f>IF(Table1[[#This Row],[Adjusted_ULife_PF]]=9,VLOOKUP(Table1[[#This Row],[Item_Platform]],[1]!Table2[#All],12,FALSE),0)</f>
        <v>0</v>
      </c>
      <c r="BM34" s="25">
        <f>SUM(Table1[[#This Row],[yr 9_wl]:[yr 9_pf]])</f>
        <v>0</v>
      </c>
      <c r="BN34" s="25">
        <f>IF(Table1[[#This Row],[Years_Next_Rehab_Well]]=10,VLOOKUP(Table1[[#This Row],[Item_Rehab_WL]],[1]!Table2[#All],13,FALSE),0)</f>
        <v>0</v>
      </c>
      <c r="BO34" s="25">
        <f>IF(Table1[[#This Row],[Adjusted_ULife_HP]]=10,VLOOKUP(Table1[[#This Row],[Item_Handpump]],[1]!Table2[#All],13,FALSE),0)</f>
        <v>0</v>
      </c>
      <c r="BP34" s="25">
        <f>IF(Table1[[#This Row],[Adjusted_ULife_PF]]=10,VLOOKUP(Table1[[#This Row],[Item_Platform]],[1]!Table2[#All],13,FALSE),0)</f>
        <v>4658.7723125163184</v>
      </c>
      <c r="BQ34" s="25">
        <f>SUM(Table1[[#This Row],[yr 10_wl]:[yr 10_pf]])</f>
        <v>4658.7723125163184</v>
      </c>
      <c r="BR34" s="25">
        <f>IF(Table1[[#This Row],[Years_Next_Rehab_Well]]=11,VLOOKUP(Table1[[#This Row],[Item_Rehab_WL]],[1]!Table2[#All],14,FALSE),0)</f>
        <v>0</v>
      </c>
      <c r="BS34" s="25">
        <f>IF(Table1[[#This Row],[Adjusted_ULife_HP]]=11,VLOOKUP(Table1[[#This Row],[Item_Handpump]],[1]!Table2[#All],14,FALSE),0)</f>
        <v>0</v>
      </c>
      <c r="BT34" s="25">
        <f>IF(Table1[[#This Row],[Adjusted_ULife_PF]]=11,VLOOKUP(Table1[[#This Row],[Item_Platform]],[1]!Table2[#All],14,FALSE),0)</f>
        <v>0</v>
      </c>
      <c r="BU34" s="25">
        <f>SUM(Table1[[#This Row],[yr 11_wl]:[yr 11_pf]])</f>
        <v>0</v>
      </c>
      <c r="BV34" s="25">
        <f>IF(Table1[[#This Row],[Years_Next_Rehab_Well]]=12,VLOOKUP(Table1[[#This Row],[Item_Rehab_WL]],[1]!Table2[#All],15,FALSE),0)</f>
        <v>0</v>
      </c>
      <c r="BW34" s="25">
        <f>IF(Table1[[#This Row],[Adjusted_ULife_HP]]=12,VLOOKUP(Table1[[#This Row],[Item_Handpump]],[1]!Table2[#All],15,FALSE),0)</f>
        <v>0</v>
      </c>
      <c r="BX34" s="25">
        <f>IF(Table1[[#This Row],[Adjusted_ULife_PF]]=12,VLOOKUP(Table1[[#This Row],[Item_Platform]],[1]!Table2[#All],15,FALSE),0)</f>
        <v>0</v>
      </c>
      <c r="BY34" s="25">
        <f>SUM(Table1[[#This Row],[yr 12_wl]:[yr 12_pf]])</f>
        <v>0</v>
      </c>
      <c r="BZ34" s="25">
        <f>IF(Table1[[#This Row],[Years_Next_Rehab_Well]]=13,VLOOKUP(Table1[[#This Row],[Item_Rehab_WL]],[1]!Table2[#All],16,FALSE),0)</f>
        <v>0</v>
      </c>
      <c r="CA34" s="25">
        <f>IF(Table1[[#This Row],[Adjusted_ULife_HP]]=13,VLOOKUP(Table1[[#This Row],[Item_Handpump]],[1]!Table2[#All],16,FALSE),0)</f>
        <v>0</v>
      </c>
      <c r="CB34" s="25">
        <f>IF(Table1[[#This Row],[Adjusted_ULife_PF]]=13,VLOOKUP(Table1[[#This Row],[Item_Platform]],[1]!Table2[#All],16,FALSE),0)</f>
        <v>0</v>
      </c>
      <c r="CC34" s="25">
        <f>SUM(Table1[[#This Row],[yr 13_wl]:[yr 13_pf]])</f>
        <v>0</v>
      </c>
      <c r="CD34" s="12"/>
    </row>
    <row r="35" spans="1:82" s="11" customFormat="1" x14ac:dyDescent="0.25">
      <c r="A35" s="11" t="str">
        <f>IF([1]Input_monitoring_data!A31="","",[1]Input_monitoring_data!A31)</f>
        <v>4q26-qrwc-uc6d</v>
      </c>
      <c r="B35" s="22" t="str">
        <f>[1]Input_monitoring_data!BH31</f>
        <v>Kenyasi No.1</v>
      </c>
      <c r="C35" s="22" t="str">
        <f>[1]Input_monitoring_data!BI31</f>
        <v>Kenyasi Health Centre</v>
      </c>
      <c r="D35" s="22" t="str">
        <f>[1]Input_monitoring_data!P31</f>
        <v>6.975493819452181</v>
      </c>
      <c r="E35" s="22" t="str">
        <f>[1]Input_monitoring_data!Q31</f>
        <v>-2.385504396722029</v>
      </c>
      <c r="F35" s="22" t="str">
        <f>[1]Input_monitoring_data!V31</f>
        <v>At The Premises Of The Kenyasi Health Center</v>
      </c>
      <c r="G35" s="23" t="str">
        <f>[1]Input_monitoring_data!U31</f>
        <v>Borehole</v>
      </c>
      <c r="H35" s="22">
        <f>[1]Input_monitoring_data!X31</f>
        <v>1991</v>
      </c>
      <c r="I35" s="21" t="str">
        <f>[1]Input_monitoring_data!AB31</f>
        <v>Borehole redevelopment</v>
      </c>
      <c r="J35" s="21">
        <f>[1]Input_monitoring_data!AC31</f>
        <v>0</v>
      </c>
      <c r="K35" s="23" t="str">
        <f>[1]Input_monitoring_data!W31</f>
        <v>AfriDev</v>
      </c>
      <c r="L35" s="22">
        <f>[1]Input_monitoring_data!X31</f>
        <v>1991</v>
      </c>
      <c r="M35" s="21">
        <f>IF([1]Input_monitoring_data!BL31&gt;'Point Sources_Asset_Register_'!L35,[1]Input_monitoring_data!BL31,"")</f>
        <v>2016</v>
      </c>
      <c r="N35" s="22" t="str">
        <f>[1]Input_monitoring_data!BQ31</f>
        <v>functional</v>
      </c>
      <c r="O35" s="22">
        <f>[1]Input_monitoring_data!AJ31</f>
        <v>0</v>
      </c>
      <c r="P35" s="23" t="s">
        <v>0</v>
      </c>
      <c r="Q35" s="22">
        <f>L35</f>
        <v>1991</v>
      </c>
      <c r="R35" s="21">
        <f>M35</f>
        <v>2016</v>
      </c>
      <c r="S35" s="20">
        <f>[1]Input_EUL_CRC_ERC!$B$17-Table1[[#This Row],[Year Installed_WL]]</f>
        <v>26</v>
      </c>
      <c r="T35" s="20">
        <f>[1]Input_EUL_CRC_ERC!$B$17-(IF(Table1[[#This Row],[Year Last_Rehab_WL ]]=0,Table1[[#This Row],[Year Installed_WL]],[1]Input_EUL_CRC_ERC!$B$17-Table1[[#This Row],[Year Last_Rehab_WL ]]))</f>
        <v>26</v>
      </c>
      <c r="U35" s="20">
        <f>(VLOOKUP(Table1[[#This Row],[Item_Rehab_WL]],[1]Input_EUL_CRC_ERC!$C$17:$E$27,2,FALSE)-Table1[[#This Row],[Last Rehab Age]])</f>
        <v>-11</v>
      </c>
      <c r="V35" s="19">
        <f>[1]Input_EUL_CRC_ERC!$B$17-Table1[[#This Row],[Year Installed_HP]]</f>
        <v>26</v>
      </c>
      <c r="W35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35" s="19">
        <f>[1]Input_EUL_CRC_ERC!$B$17-Table1[[#This Row],[Year Installed_PF]]</f>
        <v>26</v>
      </c>
      <c r="Y35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35" s="25">
        <f>IF(Table1[[#This Row],[Years_Next_Rehab_Well]]&lt;=0,VLOOKUP(Table1[[#This Row],[Item_Rehab_WL]],[1]!Table2[#All],3,FALSE),0)</f>
        <v>3666.6666666666665</v>
      </c>
      <c r="AA35" s="18">
        <f>IF(Table1[[#This Row],[Adjusted_ULife_HP]]&lt;=0,VLOOKUP(Table1[[#This Row],[Item_Handpump]],[1]!Table2[#All],3,FALSE),0)</f>
        <v>0</v>
      </c>
      <c r="AB35" s="18">
        <f>IF(Table1[[#This Row],[Adjusted_ULife_PF]]&lt;=0,VLOOKUP(Table1[[#This Row],[Item_Platform]],[1]!Table2[#All],3,FALSE),0)</f>
        <v>0</v>
      </c>
      <c r="AC35" s="18">
        <f>SUM(Table1[[#This Row],[current yr_wl]:[current yr_pf]])</f>
        <v>3666.6666666666665</v>
      </c>
      <c r="AD35" s="25">
        <f>IF(Table1[[#This Row],[Years_Next_Rehab_Well]]=1,VLOOKUP(Table1[[#This Row],[Item_Rehab_WL]],[1]!Table2[#All],4,FALSE),0)</f>
        <v>0</v>
      </c>
      <c r="AE35" s="25">
        <f>IF(Table1[[#This Row],[Adjusted_ULife_HP]]=1,VLOOKUP(Table1[[#This Row],[Item_Handpump]],[1]!Table2[#All],4,FALSE),0)</f>
        <v>0</v>
      </c>
      <c r="AF35" s="25">
        <f>IF(Table1[[#This Row],[Adjusted_ULife_PF]]=1,VLOOKUP(Table1[[#This Row],[Item_Platform]],[1]!Table2[#All],4,FALSE),0)</f>
        <v>0</v>
      </c>
      <c r="AG35" s="25">
        <f>SUM(Table1[[#This Row],[yr 1_wl]:[yr 1_pf]])</f>
        <v>0</v>
      </c>
      <c r="AH35" s="25">
        <f>IF(Table1[[#This Row],[Years_Next_Rehab_Well]]=2,VLOOKUP(Table1[[#This Row],[Item_Rehab_WL]],[1]!Table2[#All],5,FALSE),0)</f>
        <v>0</v>
      </c>
      <c r="AI35" s="25">
        <f>IF(Table1[[#This Row],[Adjusted_ULife_HP]]=2,VLOOKUP(Table1[[#This Row],[Item_Handpump]],[1]!Table2[#All],5,FALSE),0)</f>
        <v>0</v>
      </c>
      <c r="AJ35" s="25">
        <f>IF(Table1[[#This Row],[Adjusted_ULife_PF]]=2,VLOOKUP(Table1[[#This Row],[Item_Platform]],[1]!Table2[#All],5,FALSE),0)</f>
        <v>0</v>
      </c>
      <c r="AK35" s="25">
        <f>SUM(Table1[[#This Row],[yr 2_wl]:[yr 2_pf]])</f>
        <v>0</v>
      </c>
      <c r="AL35" s="25">
        <f>IF(Table1[[#This Row],[Years_Next_Rehab_Well]]=3,VLOOKUP(Table1[[#This Row],[Item_Rehab_WL]],[1]!Table2[#All],6,FALSE),0)</f>
        <v>0</v>
      </c>
      <c r="AM35" s="25">
        <f>IF(Table1[[#This Row],[Adjusted_ULife_HP]]=3,VLOOKUP(Table1[[#This Row],[Item_Handpump]],[1]!Table2[#All],6,FALSE),0)</f>
        <v>0</v>
      </c>
      <c r="AN35" s="25">
        <f>IF(Table1[[#This Row],[Adjusted_ULife_PF]]=3,VLOOKUP(Table1[[#This Row],[Item_Platform]],[1]!Table2[#All],6,FALSE),0)</f>
        <v>0</v>
      </c>
      <c r="AO35" s="25">
        <f>SUM(Table1[[#This Row],[yr 3_wl]:[yr 3_pf]])</f>
        <v>0</v>
      </c>
      <c r="AP35" s="25">
        <f>IF(Table1[[#This Row],[Years_Next_Rehab_Well]]=4,VLOOKUP(Table1[[#This Row],[Item_Rehab_WL]],[1]!Table2[#All],7,FALSE),0)</f>
        <v>0</v>
      </c>
      <c r="AQ35" s="25">
        <f>IF(Table1[[#This Row],[Adjusted_ULife_HP]]=4,VLOOKUP(Table1[[#This Row],[Item_Handpump]],[1]!Table2[#All],7,FALSE),0)</f>
        <v>0</v>
      </c>
      <c r="AR35" s="25">
        <f>IF(Table1[[#This Row],[Adjusted_ULife_PF]]=4,VLOOKUP(Table1[[#This Row],[Item_Platform]],[1]!Table2[#All],7,FALSE),0)</f>
        <v>0</v>
      </c>
      <c r="AS35" s="25">
        <f>SUM(Table1[[#This Row],[yr 4_wl]:[yr 4_pf]])</f>
        <v>0</v>
      </c>
      <c r="AT35" s="25">
        <f>IF(Table1[[#This Row],[Years_Next_Rehab_Well]]=5,VLOOKUP(Table1[[#This Row],[Item_Rehab_WL]],[1]!Table2[#All],8,FALSE),0)</f>
        <v>0</v>
      </c>
      <c r="AU35" s="25">
        <f>IF(Table1[[#This Row],[Adjusted_ULife_HP]]=5,VLOOKUP(Table1[[#This Row],[Item_Handpump]],[1]!Table2[#All],8,FALSE),0)</f>
        <v>0</v>
      </c>
      <c r="AV35" s="25">
        <f>IF(Table1[[#This Row],[Adjusted_ULife_PF]]=5,VLOOKUP(Table1[[#This Row],[Item_Platform]],[1]!Table2[#All],8,FALSE),0)</f>
        <v>0</v>
      </c>
      <c r="AW35" s="25">
        <f>SUM(Table1[[#This Row],[yr 5_wl]:[yr 5_pf]])</f>
        <v>0</v>
      </c>
      <c r="AX35" s="25">
        <f>IF(Table1[[#This Row],[Years_Next_Rehab_Well]]=6,VLOOKUP(Table1[[#This Row],[Item_Rehab_WL]],[1]!Table2[#All],9,FALSE),0)</f>
        <v>0</v>
      </c>
      <c r="AY35" s="25">
        <f>IF(Table1[[#This Row],[Adjusted_ULife_HP]]=6,VLOOKUP(Table1[[#This Row],[Item_Handpump]],[1]!Table2[#All],9,FALSE),0)</f>
        <v>0</v>
      </c>
      <c r="AZ35" s="25">
        <f>IF(Table1[[#This Row],[Adjusted_ULife_PF]]=6,VLOOKUP(Table1[[#This Row],[Item_Platform]],[1]!Table2[#All],9,FALSE),0)</f>
        <v>0</v>
      </c>
      <c r="BA35" s="25">
        <f>SUM(Table1[[#This Row],[yr 6_wl]:[yr 6_pf]])</f>
        <v>0</v>
      </c>
      <c r="BB35" s="25">
        <f>IF(Table1[[#This Row],[Years_Next_Rehab_Well]]=7,VLOOKUP(Table1[[#This Row],[Item_Rehab_WL]],[1]!Table2[#All],10,FALSE),0)</f>
        <v>0</v>
      </c>
      <c r="BC35" s="25">
        <f>IF(Table1[[#This Row],[Adjusted_ULife_HP]]=7,VLOOKUP(Table1[[#This Row],[Item_Handpump]],[1]!Table2[#All],10,FALSE),0)</f>
        <v>0</v>
      </c>
      <c r="BD35" s="25">
        <f>IF(Table1[[#This Row],[Adjusted_ULife_PF]]=7,VLOOKUP(Table1[[#This Row],[Item_Platform]],[1]!Table2[#All],10,FALSE),0)</f>
        <v>0</v>
      </c>
      <c r="BE35" s="25">
        <f>SUM(Table1[[#This Row],[yr 7_wl]:[yr 7_pf]])</f>
        <v>0</v>
      </c>
      <c r="BF35" s="25">
        <f>IF(Table1[[#This Row],[Years_Next_Rehab_Well]]=8,VLOOKUP(Table1[[#This Row],[Item_Rehab_WL]],[1]!Table2[#All],11,FALSE),0)</f>
        <v>0</v>
      </c>
      <c r="BG35" s="25">
        <f>IF(Table1[[#This Row],[Adjusted_ULife_HP]]=8,VLOOKUP(Table1[[#This Row],[Item_Handpump]],[1]!Table2[#All],11,FALSE),0)</f>
        <v>0</v>
      </c>
      <c r="BH35" s="25">
        <f>IF(Table1[[#This Row],[Adjusted_ULife_PF]]=8,VLOOKUP(Table1[[#This Row],[Item_Platform]],[1]!Table2[#All],11,FALSE),0)</f>
        <v>0</v>
      </c>
      <c r="BI35" s="25">
        <f>SUM(Table1[[#This Row],[yr 8_wl]:[yr 8_pf]])</f>
        <v>0</v>
      </c>
      <c r="BJ35" s="25">
        <f>IF(Table1[[#This Row],[Years_Next_Rehab_Well]]=9,VLOOKUP(Table1[[#This Row],[Item_Rehab_WL]],[1]!Table2[#All],12,FALSE),0)</f>
        <v>0</v>
      </c>
      <c r="BK35" s="25">
        <f>IF(Table1[[#This Row],[Adjusted_ULife_HP]]=9,VLOOKUP(Table1[[#This Row],[Item_Handpump]],[1]!Table2[#All],12,FALSE),0)</f>
        <v>0</v>
      </c>
      <c r="BL35" s="25">
        <f>IF(Table1[[#This Row],[Adjusted_ULife_PF]]=9,VLOOKUP(Table1[[#This Row],[Item_Platform]],[1]!Table2[#All],12,FALSE),0)</f>
        <v>4159.6181361752842</v>
      </c>
      <c r="BM35" s="25">
        <f>SUM(Table1[[#This Row],[yr 9_wl]:[yr 9_pf]])</f>
        <v>4159.6181361752842</v>
      </c>
      <c r="BN35" s="25">
        <f>IF(Table1[[#This Row],[Years_Next_Rehab_Well]]=10,VLOOKUP(Table1[[#This Row],[Item_Rehab_WL]],[1]!Table2[#All],13,FALSE),0)</f>
        <v>0</v>
      </c>
      <c r="BO35" s="25">
        <f>IF(Table1[[#This Row],[Adjusted_ULife_HP]]=10,VLOOKUP(Table1[[#This Row],[Item_Handpump]],[1]!Table2[#All],13,FALSE),0)</f>
        <v>0</v>
      </c>
      <c r="BP35" s="25">
        <f>IF(Table1[[#This Row],[Adjusted_ULife_PF]]=10,VLOOKUP(Table1[[#This Row],[Item_Platform]],[1]!Table2[#All],13,FALSE),0)</f>
        <v>0</v>
      </c>
      <c r="BQ35" s="25">
        <f>SUM(Table1[[#This Row],[yr 10_wl]:[yr 10_pf]])</f>
        <v>0</v>
      </c>
      <c r="BR35" s="25">
        <f>IF(Table1[[#This Row],[Years_Next_Rehab_Well]]=11,VLOOKUP(Table1[[#This Row],[Item_Rehab_WL]],[1]!Table2[#All],14,FALSE),0)</f>
        <v>0</v>
      </c>
      <c r="BS35" s="25">
        <f>IF(Table1[[#This Row],[Adjusted_ULife_HP]]=11,VLOOKUP(Table1[[#This Row],[Item_Handpump]],[1]!Table2[#All],14,FALSE),0)</f>
        <v>0</v>
      </c>
      <c r="BT35" s="25">
        <f>IF(Table1[[#This Row],[Adjusted_ULife_PF]]=11,VLOOKUP(Table1[[#This Row],[Item_Platform]],[1]!Table2[#All],14,FALSE),0)</f>
        <v>0</v>
      </c>
      <c r="BU35" s="25">
        <f>SUM(Table1[[#This Row],[yr 11_wl]:[yr 11_pf]])</f>
        <v>0</v>
      </c>
      <c r="BV35" s="25">
        <f>IF(Table1[[#This Row],[Years_Next_Rehab_Well]]=12,VLOOKUP(Table1[[#This Row],[Item_Rehab_WL]],[1]!Table2[#All],15,FALSE),0)</f>
        <v>0</v>
      </c>
      <c r="BW35" s="25">
        <f>IF(Table1[[#This Row],[Adjusted_ULife_HP]]=12,VLOOKUP(Table1[[#This Row],[Item_Handpump]],[1]!Table2[#All],15,FALSE),0)</f>
        <v>0</v>
      </c>
      <c r="BX35" s="25">
        <f>IF(Table1[[#This Row],[Adjusted_ULife_PF]]=12,VLOOKUP(Table1[[#This Row],[Item_Platform]],[1]!Table2[#All],15,FALSE),0)</f>
        <v>0</v>
      </c>
      <c r="BY35" s="25">
        <f>SUM(Table1[[#This Row],[yr 12_wl]:[yr 12_pf]])</f>
        <v>0</v>
      </c>
      <c r="BZ35" s="25">
        <f>IF(Table1[[#This Row],[Years_Next_Rehab_Well]]=13,VLOOKUP(Table1[[#This Row],[Item_Rehab_WL]],[1]!Table2[#All],16,FALSE),0)</f>
        <v>0</v>
      </c>
      <c r="CA35" s="25">
        <f>IF(Table1[[#This Row],[Adjusted_ULife_HP]]=13,VLOOKUP(Table1[[#This Row],[Item_Handpump]],[1]!Table2[#All],16,FALSE),0)</f>
        <v>0</v>
      </c>
      <c r="CB35" s="25">
        <f>IF(Table1[[#This Row],[Adjusted_ULife_PF]]=13,VLOOKUP(Table1[[#This Row],[Item_Platform]],[1]!Table2[#All],16,FALSE),0)</f>
        <v>0</v>
      </c>
      <c r="CC35" s="25">
        <f>SUM(Table1[[#This Row],[yr 13_wl]:[yr 13_pf]])</f>
        <v>0</v>
      </c>
      <c r="CD35" s="12"/>
    </row>
    <row r="36" spans="1:82" s="11" customFormat="1" x14ac:dyDescent="0.25">
      <c r="A36" s="11" t="str">
        <f>IF([1]Input_monitoring_data!A32="","",[1]Input_monitoring_data!A32)</f>
        <v>51nb-vf2x-1w1p</v>
      </c>
      <c r="B36" s="22" t="str">
        <f>[1]Input_monitoring_data!BH32</f>
        <v>Kenyasi No.2</v>
      </c>
      <c r="C36" s="22" t="str">
        <f>[1]Input_monitoring_data!BI32</f>
        <v>Kofi Ibrahimkrom</v>
      </c>
      <c r="D36" s="22" t="str">
        <f>[1]Input_monitoring_data!P32</f>
        <v>7.053548261148956</v>
      </c>
      <c r="E36" s="22" t="str">
        <f>[1]Input_monitoring_data!Q32</f>
        <v>-2.390551663359765</v>
      </c>
      <c r="F36" s="22" t="str">
        <f>[1]Input_monitoring_data!V32</f>
        <v>Just By Kofi Ibrahimkrom Roadside</v>
      </c>
      <c r="G36" s="23" t="str">
        <f>[1]Input_monitoring_data!U32</f>
        <v>Borehole</v>
      </c>
      <c r="H36" s="22">
        <f>[1]Input_monitoring_data!X32</f>
        <v>2006</v>
      </c>
      <c r="I36" s="21" t="str">
        <f>[1]Input_monitoring_data!AB32</f>
        <v>Borehole redevelopment</v>
      </c>
      <c r="J36" s="21">
        <f>[1]Input_monitoring_data!AC32</f>
        <v>0</v>
      </c>
      <c r="K36" s="23" t="str">
        <f>[1]Input_monitoring_data!W32</f>
        <v>AfriDev</v>
      </c>
      <c r="L36" s="22">
        <f>[1]Input_monitoring_data!X32</f>
        <v>2006</v>
      </c>
      <c r="M36" s="21">
        <f>IF([1]Input_monitoring_data!BL32&gt;'Point Sources_Asset_Register_'!L36,[1]Input_monitoring_data!BL32,"")</f>
        <v>2014</v>
      </c>
      <c r="N36" s="22" t="str">
        <f>[1]Input_monitoring_data!BQ32</f>
        <v>functional</v>
      </c>
      <c r="O36" s="22">
        <f>[1]Input_monitoring_data!AJ32</f>
        <v>0</v>
      </c>
      <c r="P36" s="23" t="s">
        <v>0</v>
      </c>
      <c r="Q36" s="22">
        <f>L36</f>
        <v>2006</v>
      </c>
      <c r="R36" s="21">
        <f>M36</f>
        <v>2014</v>
      </c>
      <c r="S36" s="20">
        <f>[1]Input_EUL_CRC_ERC!$B$17-Table1[[#This Row],[Year Installed_WL]]</f>
        <v>11</v>
      </c>
      <c r="T36" s="20">
        <f>[1]Input_EUL_CRC_ERC!$B$17-(IF(Table1[[#This Row],[Year Last_Rehab_WL ]]=0,Table1[[#This Row],[Year Installed_WL]],[1]Input_EUL_CRC_ERC!$B$17-Table1[[#This Row],[Year Last_Rehab_WL ]]))</f>
        <v>11</v>
      </c>
      <c r="U36" s="20">
        <f>(VLOOKUP(Table1[[#This Row],[Item_Rehab_WL]],[1]Input_EUL_CRC_ERC!$C$17:$E$27,2,FALSE)-Table1[[#This Row],[Last Rehab Age]])</f>
        <v>4</v>
      </c>
      <c r="V36" s="19">
        <f>[1]Input_EUL_CRC_ERC!$B$17-Table1[[#This Row],[Year Installed_HP]]</f>
        <v>11</v>
      </c>
      <c r="W36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36" s="19">
        <f>[1]Input_EUL_CRC_ERC!$B$17-Table1[[#This Row],[Year Installed_PF]]</f>
        <v>11</v>
      </c>
      <c r="Y36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36" s="25">
        <f>IF(Table1[[#This Row],[Years_Next_Rehab_Well]]&lt;=0,VLOOKUP(Table1[[#This Row],[Item_Rehab_WL]],[1]!Table2[#All],3,FALSE),0)</f>
        <v>0</v>
      </c>
      <c r="AA36" s="18">
        <f>IF(Table1[[#This Row],[Adjusted_ULife_HP]]&lt;=0,VLOOKUP(Table1[[#This Row],[Item_Handpump]],[1]!Table2[#All],3,FALSE),0)</f>
        <v>0</v>
      </c>
      <c r="AB36" s="18">
        <f>IF(Table1[[#This Row],[Adjusted_ULife_PF]]&lt;=0,VLOOKUP(Table1[[#This Row],[Item_Platform]],[1]!Table2[#All],3,FALSE),0)</f>
        <v>0</v>
      </c>
      <c r="AC36" s="18">
        <f>SUM(Table1[[#This Row],[current yr_wl]:[current yr_pf]])</f>
        <v>0</v>
      </c>
      <c r="AD36" s="25">
        <f>IF(Table1[[#This Row],[Years_Next_Rehab_Well]]=1,VLOOKUP(Table1[[#This Row],[Item_Rehab_WL]],[1]!Table2[#All],4,FALSE),0)</f>
        <v>0</v>
      </c>
      <c r="AE36" s="25">
        <f>IF(Table1[[#This Row],[Adjusted_ULife_HP]]=1,VLOOKUP(Table1[[#This Row],[Item_Handpump]],[1]!Table2[#All],4,FALSE),0)</f>
        <v>0</v>
      </c>
      <c r="AF36" s="25">
        <f>IF(Table1[[#This Row],[Adjusted_ULife_PF]]=1,VLOOKUP(Table1[[#This Row],[Item_Platform]],[1]!Table2[#All],4,FALSE),0)</f>
        <v>0</v>
      </c>
      <c r="AG36" s="25">
        <f>SUM(Table1[[#This Row],[yr 1_wl]:[yr 1_pf]])</f>
        <v>0</v>
      </c>
      <c r="AH36" s="25">
        <f>IF(Table1[[#This Row],[Years_Next_Rehab_Well]]=2,VLOOKUP(Table1[[#This Row],[Item_Rehab_WL]],[1]!Table2[#All],5,FALSE),0)</f>
        <v>0</v>
      </c>
      <c r="AI36" s="25">
        <f>IF(Table1[[#This Row],[Adjusted_ULife_HP]]=2,VLOOKUP(Table1[[#This Row],[Item_Handpump]],[1]!Table2[#All],5,FALSE),0)</f>
        <v>0</v>
      </c>
      <c r="AJ36" s="25">
        <f>IF(Table1[[#This Row],[Adjusted_ULife_PF]]=2,VLOOKUP(Table1[[#This Row],[Item_Platform]],[1]!Table2[#All],5,FALSE),0)</f>
        <v>0</v>
      </c>
      <c r="AK36" s="25">
        <f>SUM(Table1[[#This Row],[yr 2_wl]:[yr 2_pf]])</f>
        <v>0</v>
      </c>
      <c r="AL36" s="25">
        <f>IF(Table1[[#This Row],[Years_Next_Rehab_Well]]=3,VLOOKUP(Table1[[#This Row],[Item_Rehab_WL]],[1]!Table2[#All],6,FALSE),0)</f>
        <v>0</v>
      </c>
      <c r="AM36" s="25">
        <f>IF(Table1[[#This Row],[Adjusted_ULife_HP]]=3,VLOOKUP(Table1[[#This Row],[Item_Handpump]],[1]!Table2[#All],6,FALSE),0)</f>
        <v>0</v>
      </c>
      <c r="AN36" s="25">
        <f>IF(Table1[[#This Row],[Adjusted_ULife_PF]]=3,VLOOKUP(Table1[[#This Row],[Item_Platform]],[1]!Table2[#All],6,FALSE),0)</f>
        <v>0</v>
      </c>
      <c r="AO36" s="25">
        <f>SUM(Table1[[#This Row],[yr 3_wl]:[yr 3_pf]])</f>
        <v>0</v>
      </c>
      <c r="AP36" s="25">
        <f>IF(Table1[[#This Row],[Years_Next_Rehab_Well]]=4,VLOOKUP(Table1[[#This Row],[Item_Rehab_WL]],[1]!Table2[#All],7,FALSE),0)</f>
        <v>5769.5709866666684</v>
      </c>
      <c r="AQ36" s="25">
        <f>IF(Table1[[#This Row],[Adjusted_ULife_HP]]=4,VLOOKUP(Table1[[#This Row],[Item_Handpump]],[1]!Table2[#All],7,FALSE),0)</f>
        <v>0</v>
      </c>
      <c r="AR36" s="25">
        <f>IF(Table1[[#This Row],[Adjusted_ULife_PF]]=4,VLOOKUP(Table1[[#This Row],[Item_Platform]],[1]!Table2[#All],7,FALSE),0)</f>
        <v>0</v>
      </c>
      <c r="AS36" s="25">
        <f>SUM(Table1[[#This Row],[yr 4_wl]:[yr 4_pf]])</f>
        <v>5769.5709866666684</v>
      </c>
      <c r="AT36" s="25">
        <f>IF(Table1[[#This Row],[Years_Next_Rehab_Well]]=5,VLOOKUP(Table1[[#This Row],[Item_Rehab_WL]],[1]!Table2[#All],8,FALSE),0)</f>
        <v>0</v>
      </c>
      <c r="AU36" s="25">
        <f>IF(Table1[[#This Row],[Adjusted_ULife_HP]]=5,VLOOKUP(Table1[[#This Row],[Item_Handpump]],[1]!Table2[#All],8,FALSE),0)</f>
        <v>0</v>
      </c>
      <c r="AV36" s="25">
        <f>IF(Table1[[#This Row],[Adjusted_ULife_PF]]=5,VLOOKUP(Table1[[#This Row],[Item_Platform]],[1]!Table2[#All],8,FALSE),0)</f>
        <v>0</v>
      </c>
      <c r="AW36" s="25">
        <f>SUM(Table1[[#This Row],[yr 5_wl]:[yr 5_pf]])</f>
        <v>0</v>
      </c>
      <c r="AX36" s="25">
        <f>IF(Table1[[#This Row],[Years_Next_Rehab_Well]]=6,VLOOKUP(Table1[[#This Row],[Item_Rehab_WL]],[1]!Table2[#All],9,FALSE),0)</f>
        <v>0</v>
      </c>
      <c r="AY36" s="25">
        <f>IF(Table1[[#This Row],[Adjusted_ULife_HP]]=6,VLOOKUP(Table1[[#This Row],[Item_Handpump]],[1]!Table2[#All],9,FALSE),0)</f>
        <v>0</v>
      </c>
      <c r="AZ36" s="25">
        <f>IF(Table1[[#This Row],[Adjusted_ULife_PF]]=6,VLOOKUP(Table1[[#This Row],[Item_Platform]],[1]!Table2[#All],9,FALSE),0)</f>
        <v>0</v>
      </c>
      <c r="BA36" s="25">
        <f>SUM(Table1[[#This Row],[yr 6_wl]:[yr 6_pf]])</f>
        <v>0</v>
      </c>
      <c r="BB36" s="25">
        <f>IF(Table1[[#This Row],[Years_Next_Rehab_Well]]=7,VLOOKUP(Table1[[#This Row],[Item_Rehab_WL]],[1]!Table2[#All],10,FALSE),0)</f>
        <v>0</v>
      </c>
      <c r="BC36" s="25">
        <f>IF(Table1[[#This Row],[Adjusted_ULife_HP]]=7,VLOOKUP(Table1[[#This Row],[Item_Handpump]],[1]!Table2[#All],10,FALSE),0)</f>
        <v>0</v>
      </c>
      <c r="BD36" s="25">
        <f>IF(Table1[[#This Row],[Adjusted_ULife_PF]]=7,VLOOKUP(Table1[[#This Row],[Item_Platform]],[1]!Table2[#All],10,FALSE),0)</f>
        <v>3316.0221111091228</v>
      </c>
      <c r="BE36" s="25">
        <f>SUM(Table1[[#This Row],[yr 7_wl]:[yr 7_pf]])</f>
        <v>3316.0221111091228</v>
      </c>
      <c r="BF36" s="25">
        <f>IF(Table1[[#This Row],[Years_Next_Rehab_Well]]=8,VLOOKUP(Table1[[#This Row],[Item_Rehab_WL]],[1]!Table2[#All],11,FALSE),0)</f>
        <v>0</v>
      </c>
      <c r="BG36" s="25">
        <f>IF(Table1[[#This Row],[Adjusted_ULife_HP]]=8,VLOOKUP(Table1[[#This Row],[Item_Handpump]],[1]!Table2[#All],11,FALSE),0)</f>
        <v>0</v>
      </c>
      <c r="BH36" s="25">
        <f>IF(Table1[[#This Row],[Adjusted_ULife_PF]]=8,VLOOKUP(Table1[[#This Row],[Item_Platform]],[1]!Table2[#All],11,FALSE),0)</f>
        <v>0</v>
      </c>
      <c r="BI36" s="25">
        <f>SUM(Table1[[#This Row],[yr 8_wl]:[yr 8_pf]])</f>
        <v>0</v>
      </c>
      <c r="BJ36" s="25">
        <f>IF(Table1[[#This Row],[Years_Next_Rehab_Well]]=9,VLOOKUP(Table1[[#This Row],[Item_Rehab_WL]],[1]!Table2[#All],12,FALSE),0)</f>
        <v>0</v>
      </c>
      <c r="BK36" s="25">
        <f>IF(Table1[[#This Row],[Adjusted_ULife_HP]]=9,VLOOKUP(Table1[[#This Row],[Item_Handpump]],[1]!Table2[#All],12,FALSE),0)</f>
        <v>0</v>
      </c>
      <c r="BL36" s="25">
        <f>IF(Table1[[#This Row],[Adjusted_ULife_PF]]=9,VLOOKUP(Table1[[#This Row],[Item_Platform]],[1]!Table2[#All],12,FALSE),0)</f>
        <v>0</v>
      </c>
      <c r="BM36" s="25">
        <f>SUM(Table1[[#This Row],[yr 9_wl]:[yr 9_pf]])</f>
        <v>0</v>
      </c>
      <c r="BN36" s="25">
        <f>IF(Table1[[#This Row],[Years_Next_Rehab_Well]]=10,VLOOKUP(Table1[[#This Row],[Item_Rehab_WL]],[1]!Table2[#All],13,FALSE),0)</f>
        <v>0</v>
      </c>
      <c r="BO36" s="25">
        <f>IF(Table1[[#This Row],[Adjusted_ULife_HP]]=10,VLOOKUP(Table1[[#This Row],[Item_Handpump]],[1]!Table2[#All],13,FALSE),0)</f>
        <v>0</v>
      </c>
      <c r="BP36" s="25">
        <f>IF(Table1[[#This Row],[Adjusted_ULife_PF]]=10,VLOOKUP(Table1[[#This Row],[Item_Platform]],[1]!Table2[#All],13,FALSE),0)</f>
        <v>0</v>
      </c>
      <c r="BQ36" s="25">
        <f>SUM(Table1[[#This Row],[yr 10_wl]:[yr 10_pf]])</f>
        <v>0</v>
      </c>
      <c r="BR36" s="25">
        <f>IF(Table1[[#This Row],[Years_Next_Rehab_Well]]=11,VLOOKUP(Table1[[#This Row],[Item_Rehab_WL]],[1]!Table2[#All],14,FALSE),0)</f>
        <v>0</v>
      </c>
      <c r="BS36" s="25">
        <f>IF(Table1[[#This Row],[Adjusted_ULife_HP]]=11,VLOOKUP(Table1[[#This Row],[Item_Handpump]],[1]!Table2[#All],14,FALSE),0)</f>
        <v>0</v>
      </c>
      <c r="BT36" s="25">
        <f>IF(Table1[[#This Row],[Adjusted_ULife_PF]]=11,VLOOKUP(Table1[[#This Row],[Item_Platform]],[1]!Table2[#All],14,FALSE),0)</f>
        <v>0</v>
      </c>
      <c r="BU36" s="25">
        <f>SUM(Table1[[#This Row],[yr 11_wl]:[yr 11_pf]])</f>
        <v>0</v>
      </c>
      <c r="BV36" s="25">
        <f>IF(Table1[[#This Row],[Years_Next_Rehab_Well]]=12,VLOOKUP(Table1[[#This Row],[Item_Rehab_WL]],[1]!Table2[#All],15,FALSE),0)</f>
        <v>0</v>
      </c>
      <c r="BW36" s="25">
        <f>IF(Table1[[#This Row],[Adjusted_ULife_HP]]=12,VLOOKUP(Table1[[#This Row],[Item_Handpump]],[1]!Table2[#All],15,FALSE),0)</f>
        <v>0</v>
      </c>
      <c r="BX36" s="25">
        <f>IF(Table1[[#This Row],[Adjusted_ULife_PF]]=12,VLOOKUP(Table1[[#This Row],[Item_Platform]],[1]!Table2[#All],15,FALSE),0)</f>
        <v>0</v>
      </c>
      <c r="BY36" s="25">
        <f>SUM(Table1[[#This Row],[yr 12_wl]:[yr 12_pf]])</f>
        <v>0</v>
      </c>
      <c r="BZ36" s="25">
        <f>IF(Table1[[#This Row],[Years_Next_Rehab_Well]]=13,VLOOKUP(Table1[[#This Row],[Item_Rehab_WL]],[1]!Table2[#All],16,FALSE),0)</f>
        <v>0</v>
      </c>
      <c r="CA36" s="25">
        <f>IF(Table1[[#This Row],[Adjusted_ULife_HP]]=13,VLOOKUP(Table1[[#This Row],[Item_Handpump]],[1]!Table2[#All],16,FALSE),0)</f>
        <v>0</v>
      </c>
      <c r="CB36" s="25">
        <f>IF(Table1[[#This Row],[Adjusted_ULife_PF]]=13,VLOOKUP(Table1[[#This Row],[Item_Platform]],[1]!Table2[#All],16,FALSE),0)</f>
        <v>0</v>
      </c>
      <c r="CC36" s="25">
        <f>SUM(Table1[[#This Row],[yr 13_wl]:[yr 13_pf]])</f>
        <v>0</v>
      </c>
      <c r="CD36" s="12"/>
    </row>
    <row r="37" spans="1:82" s="11" customFormat="1" x14ac:dyDescent="0.25">
      <c r="A37" s="11" t="str">
        <f>IF([1]Input_monitoring_data!A33="","",[1]Input_monitoring_data!A33)</f>
        <v>578g-hdeg-71ka</v>
      </c>
      <c r="B37" s="22" t="str">
        <f>[1]Input_monitoring_data!BH33</f>
        <v>Kenyasi No.2</v>
      </c>
      <c r="C37" s="22" t="str">
        <f>[1]Input_monitoring_data!BI33</f>
        <v>OLA Resettlement</v>
      </c>
      <c r="D37" s="22" t="str">
        <f>[1]Input_monitoring_data!P33</f>
        <v>6.991722321042752</v>
      </c>
      <c r="E37" s="22" t="str">
        <f>[1]Input_monitoring_data!Q33</f>
        <v>-2.4039368114869126</v>
      </c>
      <c r="F37" s="22" t="str">
        <f>[1]Input_monitoring_data!V33</f>
        <v>New Site Makert</v>
      </c>
      <c r="G37" s="23" t="str">
        <f>[1]Input_monitoring_data!U33</f>
        <v>Borehole</v>
      </c>
      <c r="H37" s="22">
        <f>[1]Input_monitoring_data!X33</f>
        <v>2011</v>
      </c>
      <c r="I37" s="21" t="str">
        <f>[1]Input_monitoring_data!AB33</f>
        <v>Borehole redevelopment</v>
      </c>
      <c r="J37" s="21">
        <f>[1]Input_monitoring_data!AC33</f>
        <v>0</v>
      </c>
      <c r="K37" s="23" t="str">
        <f>[1]Input_monitoring_data!W33</f>
        <v>AfriDev</v>
      </c>
      <c r="L37" s="22">
        <f>[1]Input_monitoring_data!X33</f>
        <v>2011</v>
      </c>
      <c r="M37" s="21">
        <f>IF([1]Input_monitoring_data!BL33&gt;'Point Sources_Asset_Register_'!L37,[1]Input_monitoring_data!BL33,"")</f>
        <v>2016</v>
      </c>
      <c r="N37" s="22" t="str">
        <f>[1]Input_monitoring_data!BQ33</f>
        <v>not functional</v>
      </c>
      <c r="O37" s="22">
        <f>[1]Input_monitoring_data!AJ33</f>
        <v>0</v>
      </c>
      <c r="P37" s="23" t="s">
        <v>0</v>
      </c>
      <c r="Q37" s="22">
        <f>L37</f>
        <v>2011</v>
      </c>
      <c r="R37" s="21">
        <f>M37</f>
        <v>2016</v>
      </c>
      <c r="S37" s="20">
        <f>[1]Input_EUL_CRC_ERC!$B$17-Table1[[#This Row],[Year Installed_WL]]</f>
        <v>6</v>
      </c>
      <c r="T37" s="20">
        <f>[1]Input_EUL_CRC_ERC!$B$17-(IF(Table1[[#This Row],[Year Last_Rehab_WL ]]=0,Table1[[#This Row],[Year Installed_WL]],[1]Input_EUL_CRC_ERC!$B$17-Table1[[#This Row],[Year Last_Rehab_WL ]]))</f>
        <v>6</v>
      </c>
      <c r="U37" s="20">
        <f>(VLOOKUP(Table1[[#This Row],[Item_Rehab_WL]],[1]Input_EUL_CRC_ERC!$C$17:$E$27,2,FALSE)-Table1[[#This Row],[Last Rehab Age]])</f>
        <v>9</v>
      </c>
      <c r="V37" s="19">
        <f>[1]Input_EUL_CRC_ERC!$B$17-Table1[[#This Row],[Year Installed_HP]]</f>
        <v>6</v>
      </c>
      <c r="W37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37" s="19">
        <f>[1]Input_EUL_CRC_ERC!$B$17-Table1[[#This Row],[Year Installed_PF]]</f>
        <v>6</v>
      </c>
      <c r="Y37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37" s="25">
        <f>IF(Table1[[#This Row],[Years_Next_Rehab_Well]]&lt;=0,VLOOKUP(Table1[[#This Row],[Item_Rehab_WL]],[1]!Table2[#All],3,FALSE),0)</f>
        <v>0</v>
      </c>
      <c r="AA37" s="18">
        <f>IF(Table1[[#This Row],[Adjusted_ULife_HP]]&lt;=0,VLOOKUP(Table1[[#This Row],[Item_Handpump]],[1]!Table2[#All],3,FALSE),0)</f>
        <v>0</v>
      </c>
      <c r="AB37" s="18">
        <f>IF(Table1[[#This Row],[Adjusted_ULife_PF]]&lt;=0,VLOOKUP(Table1[[#This Row],[Item_Platform]],[1]!Table2[#All],3,FALSE),0)</f>
        <v>0</v>
      </c>
      <c r="AC37" s="18">
        <f>SUM(Table1[[#This Row],[current yr_wl]:[current yr_pf]])</f>
        <v>0</v>
      </c>
      <c r="AD37" s="25">
        <f>IF(Table1[[#This Row],[Years_Next_Rehab_Well]]=1,VLOOKUP(Table1[[#This Row],[Item_Rehab_WL]],[1]!Table2[#All],4,FALSE),0)</f>
        <v>0</v>
      </c>
      <c r="AE37" s="25">
        <f>IF(Table1[[#This Row],[Adjusted_ULife_HP]]=1,VLOOKUP(Table1[[#This Row],[Item_Handpump]],[1]!Table2[#All],4,FALSE),0)</f>
        <v>0</v>
      </c>
      <c r="AF37" s="25">
        <f>IF(Table1[[#This Row],[Adjusted_ULife_PF]]=1,VLOOKUP(Table1[[#This Row],[Item_Platform]],[1]!Table2[#All],4,FALSE),0)</f>
        <v>0</v>
      </c>
      <c r="AG37" s="25">
        <f>SUM(Table1[[#This Row],[yr 1_wl]:[yr 1_pf]])</f>
        <v>0</v>
      </c>
      <c r="AH37" s="25">
        <f>IF(Table1[[#This Row],[Years_Next_Rehab_Well]]=2,VLOOKUP(Table1[[#This Row],[Item_Rehab_WL]],[1]!Table2[#All],5,FALSE),0)</f>
        <v>0</v>
      </c>
      <c r="AI37" s="25">
        <f>IF(Table1[[#This Row],[Adjusted_ULife_HP]]=2,VLOOKUP(Table1[[#This Row],[Item_Handpump]],[1]!Table2[#All],5,FALSE),0)</f>
        <v>0</v>
      </c>
      <c r="AJ37" s="25">
        <f>IF(Table1[[#This Row],[Adjusted_ULife_PF]]=2,VLOOKUP(Table1[[#This Row],[Item_Platform]],[1]!Table2[#All],5,FALSE),0)</f>
        <v>0</v>
      </c>
      <c r="AK37" s="25">
        <f>SUM(Table1[[#This Row],[yr 2_wl]:[yr 2_pf]])</f>
        <v>0</v>
      </c>
      <c r="AL37" s="25">
        <f>IF(Table1[[#This Row],[Years_Next_Rehab_Well]]=3,VLOOKUP(Table1[[#This Row],[Item_Rehab_WL]],[1]!Table2[#All],6,FALSE),0)</f>
        <v>0</v>
      </c>
      <c r="AM37" s="25">
        <f>IF(Table1[[#This Row],[Adjusted_ULife_HP]]=3,VLOOKUP(Table1[[#This Row],[Item_Handpump]],[1]!Table2[#All],6,FALSE),0)</f>
        <v>0</v>
      </c>
      <c r="AN37" s="25">
        <f>IF(Table1[[#This Row],[Adjusted_ULife_PF]]=3,VLOOKUP(Table1[[#This Row],[Item_Platform]],[1]!Table2[#All],6,FALSE),0)</f>
        <v>0</v>
      </c>
      <c r="AO37" s="25">
        <f>SUM(Table1[[#This Row],[yr 3_wl]:[yr 3_pf]])</f>
        <v>0</v>
      </c>
      <c r="AP37" s="25">
        <f>IF(Table1[[#This Row],[Years_Next_Rehab_Well]]=4,VLOOKUP(Table1[[#This Row],[Item_Rehab_WL]],[1]!Table2[#All],7,FALSE),0)</f>
        <v>0</v>
      </c>
      <c r="AQ37" s="25">
        <f>IF(Table1[[#This Row],[Adjusted_ULife_HP]]=4,VLOOKUP(Table1[[#This Row],[Item_Handpump]],[1]!Table2[#All],7,FALSE),0)</f>
        <v>0</v>
      </c>
      <c r="AR37" s="25">
        <f>IF(Table1[[#This Row],[Adjusted_ULife_PF]]=4,VLOOKUP(Table1[[#This Row],[Item_Platform]],[1]!Table2[#All],7,FALSE),0)</f>
        <v>0</v>
      </c>
      <c r="AS37" s="25">
        <f>SUM(Table1[[#This Row],[yr 4_wl]:[yr 4_pf]])</f>
        <v>0</v>
      </c>
      <c r="AT37" s="25">
        <f>IF(Table1[[#This Row],[Years_Next_Rehab_Well]]=5,VLOOKUP(Table1[[#This Row],[Item_Rehab_WL]],[1]!Table2[#All],8,FALSE),0)</f>
        <v>0</v>
      </c>
      <c r="AU37" s="25">
        <f>IF(Table1[[#This Row],[Adjusted_ULife_HP]]=5,VLOOKUP(Table1[[#This Row],[Item_Handpump]],[1]!Table2[#All],8,FALSE),0)</f>
        <v>0</v>
      </c>
      <c r="AV37" s="25">
        <f>IF(Table1[[#This Row],[Adjusted_ULife_PF]]=5,VLOOKUP(Table1[[#This Row],[Item_Platform]],[1]!Table2[#All],8,FALSE),0)</f>
        <v>0</v>
      </c>
      <c r="AW37" s="25">
        <f>SUM(Table1[[#This Row],[yr 5_wl]:[yr 5_pf]])</f>
        <v>0</v>
      </c>
      <c r="AX37" s="25">
        <f>IF(Table1[[#This Row],[Years_Next_Rehab_Well]]=6,VLOOKUP(Table1[[#This Row],[Item_Rehab_WL]],[1]!Table2[#All],9,FALSE),0)</f>
        <v>0</v>
      </c>
      <c r="AY37" s="25">
        <f>IF(Table1[[#This Row],[Adjusted_ULife_HP]]=6,VLOOKUP(Table1[[#This Row],[Item_Handpump]],[1]!Table2[#All],9,FALSE),0)</f>
        <v>0</v>
      </c>
      <c r="AZ37" s="25">
        <f>IF(Table1[[#This Row],[Adjusted_ULife_PF]]=6,VLOOKUP(Table1[[#This Row],[Item_Platform]],[1]!Table2[#All],9,FALSE),0)</f>
        <v>0</v>
      </c>
      <c r="BA37" s="25">
        <f>SUM(Table1[[#This Row],[yr 6_wl]:[yr 6_pf]])</f>
        <v>0</v>
      </c>
      <c r="BB37" s="25">
        <f>IF(Table1[[#This Row],[Years_Next_Rehab_Well]]=7,VLOOKUP(Table1[[#This Row],[Item_Rehab_WL]],[1]!Table2[#All],10,FALSE),0)</f>
        <v>0</v>
      </c>
      <c r="BC37" s="25">
        <f>IF(Table1[[#This Row],[Adjusted_ULife_HP]]=7,VLOOKUP(Table1[[#This Row],[Item_Handpump]],[1]!Table2[#All],10,FALSE),0)</f>
        <v>0</v>
      </c>
      <c r="BD37" s="25">
        <f>IF(Table1[[#This Row],[Adjusted_ULife_PF]]=7,VLOOKUP(Table1[[#This Row],[Item_Platform]],[1]!Table2[#All],10,FALSE),0)</f>
        <v>0</v>
      </c>
      <c r="BE37" s="25">
        <f>SUM(Table1[[#This Row],[yr 7_wl]:[yr 7_pf]])</f>
        <v>0</v>
      </c>
      <c r="BF37" s="25">
        <f>IF(Table1[[#This Row],[Years_Next_Rehab_Well]]=8,VLOOKUP(Table1[[#This Row],[Item_Rehab_WL]],[1]!Table2[#All],11,FALSE),0)</f>
        <v>0</v>
      </c>
      <c r="BG37" s="25">
        <f>IF(Table1[[#This Row],[Adjusted_ULife_HP]]=8,VLOOKUP(Table1[[#This Row],[Item_Handpump]],[1]!Table2[#All],11,FALSE),0)</f>
        <v>0</v>
      </c>
      <c r="BH37" s="25">
        <f>IF(Table1[[#This Row],[Adjusted_ULife_PF]]=8,VLOOKUP(Table1[[#This Row],[Item_Platform]],[1]!Table2[#All],11,FALSE),0)</f>
        <v>0</v>
      </c>
      <c r="BI37" s="25">
        <f>SUM(Table1[[#This Row],[yr 8_wl]:[yr 8_pf]])</f>
        <v>0</v>
      </c>
      <c r="BJ37" s="25">
        <f>IF(Table1[[#This Row],[Years_Next_Rehab_Well]]=9,VLOOKUP(Table1[[#This Row],[Item_Rehab_WL]],[1]!Table2[#All],12,FALSE),0)</f>
        <v>10167.955443984027</v>
      </c>
      <c r="BK37" s="25">
        <f>IF(Table1[[#This Row],[Adjusted_ULife_HP]]=9,VLOOKUP(Table1[[#This Row],[Item_Handpump]],[1]!Table2[#All],12,FALSE),0)</f>
        <v>0</v>
      </c>
      <c r="BL37" s="25">
        <f>IF(Table1[[#This Row],[Adjusted_ULife_PF]]=9,VLOOKUP(Table1[[#This Row],[Item_Platform]],[1]!Table2[#All],12,FALSE),0)</f>
        <v>4159.6181361752842</v>
      </c>
      <c r="BM37" s="25">
        <f>SUM(Table1[[#This Row],[yr 9_wl]:[yr 9_pf]])</f>
        <v>14327.573580159311</v>
      </c>
      <c r="BN37" s="25">
        <f>IF(Table1[[#This Row],[Years_Next_Rehab_Well]]=10,VLOOKUP(Table1[[#This Row],[Item_Rehab_WL]],[1]!Table2[#All],13,FALSE),0)</f>
        <v>0</v>
      </c>
      <c r="BO37" s="25">
        <f>IF(Table1[[#This Row],[Adjusted_ULife_HP]]=10,VLOOKUP(Table1[[#This Row],[Item_Handpump]],[1]!Table2[#All],13,FALSE),0)</f>
        <v>0</v>
      </c>
      <c r="BP37" s="25">
        <f>IF(Table1[[#This Row],[Adjusted_ULife_PF]]=10,VLOOKUP(Table1[[#This Row],[Item_Platform]],[1]!Table2[#All],13,FALSE),0)</f>
        <v>0</v>
      </c>
      <c r="BQ37" s="25">
        <f>SUM(Table1[[#This Row],[yr 10_wl]:[yr 10_pf]])</f>
        <v>0</v>
      </c>
      <c r="BR37" s="25">
        <f>IF(Table1[[#This Row],[Years_Next_Rehab_Well]]=11,VLOOKUP(Table1[[#This Row],[Item_Rehab_WL]],[1]!Table2[#All],14,FALSE),0)</f>
        <v>0</v>
      </c>
      <c r="BS37" s="25">
        <f>IF(Table1[[#This Row],[Adjusted_ULife_HP]]=11,VLOOKUP(Table1[[#This Row],[Item_Handpump]],[1]!Table2[#All],14,FALSE),0)</f>
        <v>0</v>
      </c>
      <c r="BT37" s="25">
        <f>IF(Table1[[#This Row],[Adjusted_ULife_PF]]=11,VLOOKUP(Table1[[#This Row],[Item_Platform]],[1]!Table2[#All],14,FALSE),0)</f>
        <v>0</v>
      </c>
      <c r="BU37" s="25">
        <f>SUM(Table1[[#This Row],[yr 11_wl]:[yr 11_pf]])</f>
        <v>0</v>
      </c>
      <c r="BV37" s="25">
        <f>IF(Table1[[#This Row],[Years_Next_Rehab_Well]]=12,VLOOKUP(Table1[[#This Row],[Item_Rehab_WL]],[1]!Table2[#All],15,FALSE),0)</f>
        <v>0</v>
      </c>
      <c r="BW37" s="25">
        <f>IF(Table1[[#This Row],[Adjusted_ULife_HP]]=12,VLOOKUP(Table1[[#This Row],[Item_Handpump]],[1]!Table2[#All],15,FALSE),0)</f>
        <v>0</v>
      </c>
      <c r="BX37" s="25">
        <f>IF(Table1[[#This Row],[Adjusted_ULife_PF]]=12,VLOOKUP(Table1[[#This Row],[Item_Platform]],[1]!Table2[#All],15,FALSE),0)</f>
        <v>0</v>
      </c>
      <c r="BY37" s="25">
        <f>SUM(Table1[[#This Row],[yr 12_wl]:[yr 12_pf]])</f>
        <v>0</v>
      </c>
      <c r="BZ37" s="25">
        <f>IF(Table1[[#This Row],[Years_Next_Rehab_Well]]=13,VLOOKUP(Table1[[#This Row],[Item_Rehab_WL]],[1]!Table2[#All],16,FALSE),0)</f>
        <v>0</v>
      </c>
      <c r="CA37" s="25">
        <f>IF(Table1[[#This Row],[Adjusted_ULife_HP]]=13,VLOOKUP(Table1[[#This Row],[Item_Handpump]],[1]!Table2[#All],16,FALSE),0)</f>
        <v>0</v>
      </c>
      <c r="CB37" s="25">
        <f>IF(Table1[[#This Row],[Adjusted_ULife_PF]]=13,VLOOKUP(Table1[[#This Row],[Item_Platform]],[1]!Table2[#All],16,FALSE),0)</f>
        <v>0</v>
      </c>
      <c r="CC37" s="25">
        <f>SUM(Table1[[#This Row],[yr 13_wl]:[yr 13_pf]])</f>
        <v>0</v>
      </c>
      <c r="CD37" s="12"/>
    </row>
    <row r="38" spans="1:82" s="11" customFormat="1" x14ac:dyDescent="0.25">
      <c r="A38" s="11" t="str">
        <f>IF([1]Input_monitoring_data!A34="","",[1]Input_monitoring_data!A34)</f>
        <v>5dk6-jsgp-2j3k</v>
      </c>
      <c r="B38" s="22" t="str">
        <f>[1]Input_monitoring_data!BH34</f>
        <v>Goamu</v>
      </c>
      <c r="C38" s="22" t="str">
        <f>[1]Input_monitoring_data!BI34</f>
        <v>Kramokrom</v>
      </c>
      <c r="D38" s="22" t="str">
        <f>[1]Input_monitoring_data!P34</f>
        <v>7.0704570576820664</v>
      </c>
      <c r="E38" s="22" t="str">
        <f>[1]Input_monitoring_data!Q34</f>
        <v>-2.4526145656022025</v>
      </c>
      <c r="F38" s="22" t="str">
        <f>[1]Input_monitoring_data!V34</f>
        <v>Near Nana Adu's House</v>
      </c>
      <c r="G38" s="23" t="str">
        <f>[1]Input_monitoring_data!U34</f>
        <v>Borehole</v>
      </c>
      <c r="H38" s="22">
        <f>[1]Input_monitoring_data!X34</f>
        <v>1987</v>
      </c>
      <c r="I38" s="21" t="str">
        <f>[1]Input_monitoring_data!AB34</f>
        <v>Borehole redevelopment</v>
      </c>
      <c r="J38" s="21">
        <f>[1]Input_monitoring_data!AC34</f>
        <v>0</v>
      </c>
      <c r="K38" s="23" t="str">
        <f>[1]Input_monitoring_data!W34</f>
        <v>Ghana modified India Mark II</v>
      </c>
      <c r="L38" s="22">
        <f>[1]Input_monitoring_data!X34</f>
        <v>1987</v>
      </c>
      <c r="M38" s="21">
        <f>IF([1]Input_monitoring_data!BL34&gt;'Point Sources_Asset_Register_'!L38,[1]Input_monitoring_data!BL34,"")</f>
        <v>2016</v>
      </c>
      <c r="N38" s="22" t="str">
        <f>[1]Input_monitoring_data!BQ34</f>
        <v>partially functional</v>
      </c>
      <c r="O38" s="22">
        <f>[1]Input_monitoring_data!AJ34</f>
        <v>0</v>
      </c>
      <c r="P38" s="23" t="s">
        <v>0</v>
      </c>
      <c r="Q38" s="22">
        <f>L38</f>
        <v>1987</v>
      </c>
      <c r="R38" s="21">
        <f>M38</f>
        <v>2016</v>
      </c>
      <c r="S38" s="20">
        <f>[1]Input_EUL_CRC_ERC!$B$17-Table1[[#This Row],[Year Installed_WL]]</f>
        <v>30</v>
      </c>
      <c r="T38" s="20">
        <f>[1]Input_EUL_CRC_ERC!$B$17-(IF(Table1[[#This Row],[Year Last_Rehab_WL ]]=0,Table1[[#This Row],[Year Installed_WL]],[1]Input_EUL_CRC_ERC!$B$17-Table1[[#This Row],[Year Last_Rehab_WL ]]))</f>
        <v>30</v>
      </c>
      <c r="U38" s="20">
        <f>(VLOOKUP(Table1[[#This Row],[Item_Rehab_WL]],[1]Input_EUL_CRC_ERC!$C$17:$E$27,2,FALSE)-Table1[[#This Row],[Last Rehab Age]])</f>
        <v>-15</v>
      </c>
      <c r="V38" s="19">
        <f>[1]Input_EUL_CRC_ERC!$B$17-Table1[[#This Row],[Year Installed_HP]]</f>
        <v>30</v>
      </c>
      <c r="W38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38" s="19">
        <f>[1]Input_EUL_CRC_ERC!$B$17-Table1[[#This Row],[Year Installed_PF]]</f>
        <v>30</v>
      </c>
      <c r="Y38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38" s="25">
        <f>IF(Table1[[#This Row],[Years_Next_Rehab_Well]]&lt;=0,VLOOKUP(Table1[[#This Row],[Item_Rehab_WL]],[1]!Table2[#All],3,FALSE),0)</f>
        <v>3666.6666666666665</v>
      </c>
      <c r="AA38" s="18">
        <f>IF(Table1[[#This Row],[Adjusted_ULife_HP]]&lt;=0,VLOOKUP(Table1[[#This Row],[Item_Handpump]],[1]!Table2[#All],3,FALSE),0)</f>
        <v>0</v>
      </c>
      <c r="AB38" s="18">
        <f>IF(Table1[[#This Row],[Adjusted_ULife_PF]]&lt;=0,VLOOKUP(Table1[[#This Row],[Item_Platform]],[1]!Table2[#All],3,FALSE),0)</f>
        <v>0</v>
      </c>
      <c r="AC38" s="18">
        <f>SUM(Table1[[#This Row],[current yr_wl]:[current yr_pf]])</f>
        <v>3666.6666666666665</v>
      </c>
      <c r="AD38" s="25">
        <f>IF(Table1[[#This Row],[Years_Next_Rehab_Well]]=1,VLOOKUP(Table1[[#This Row],[Item_Rehab_WL]],[1]!Table2[#All],4,FALSE),0)</f>
        <v>0</v>
      </c>
      <c r="AE38" s="25">
        <f>IF(Table1[[#This Row],[Adjusted_ULife_HP]]=1,VLOOKUP(Table1[[#This Row],[Item_Handpump]],[1]!Table2[#All],4,FALSE),0)</f>
        <v>0</v>
      </c>
      <c r="AF38" s="25">
        <f>IF(Table1[[#This Row],[Adjusted_ULife_PF]]=1,VLOOKUP(Table1[[#This Row],[Item_Platform]],[1]!Table2[#All],4,FALSE),0)</f>
        <v>0</v>
      </c>
      <c r="AG38" s="25">
        <f>SUM(Table1[[#This Row],[yr 1_wl]:[yr 1_pf]])</f>
        <v>0</v>
      </c>
      <c r="AH38" s="25">
        <f>IF(Table1[[#This Row],[Years_Next_Rehab_Well]]=2,VLOOKUP(Table1[[#This Row],[Item_Rehab_WL]],[1]!Table2[#All],5,FALSE),0)</f>
        <v>0</v>
      </c>
      <c r="AI38" s="25">
        <f>IF(Table1[[#This Row],[Adjusted_ULife_HP]]=2,VLOOKUP(Table1[[#This Row],[Item_Handpump]],[1]!Table2[#All],5,FALSE),0)</f>
        <v>0</v>
      </c>
      <c r="AJ38" s="25">
        <f>IF(Table1[[#This Row],[Adjusted_ULife_PF]]=2,VLOOKUP(Table1[[#This Row],[Item_Platform]],[1]!Table2[#All],5,FALSE),0)</f>
        <v>0</v>
      </c>
      <c r="AK38" s="25">
        <f>SUM(Table1[[#This Row],[yr 2_wl]:[yr 2_pf]])</f>
        <v>0</v>
      </c>
      <c r="AL38" s="25">
        <f>IF(Table1[[#This Row],[Years_Next_Rehab_Well]]=3,VLOOKUP(Table1[[#This Row],[Item_Rehab_WL]],[1]!Table2[#All],6,FALSE),0)</f>
        <v>0</v>
      </c>
      <c r="AM38" s="25">
        <f>IF(Table1[[#This Row],[Adjusted_ULife_HP]]=3,VLOOKUP(Table1[[#This Row],[Item_Handpump]],[1]!Table2[#All],6,FALSE),0)</f>
        <v>0</v>
      </c>
      <c r="AN38" s="25">
        <f>IF(Table1[[#This Row],[Adjusted_ULife_PF]]=3,VLOOKUP(Table1[[#This Row],[Item_Platform]],[1]!Table2[#All],6,FALSE),0)</f>
        <v>0</v>
      </c>
      <c r="AO38" s="25">
        <f>SUM(Table1[[#This Row],[yr 3_wl]:[yr 3_pf]])</f>
        <v>0</v>
      </c>
      <c r="AP38" s="25">
        <f>IF(Table1[[#This Row],[Years_Next_Rehab_Well]]=4,VLOOKUP(Table1[[#This Row],[Item_Rehab_WL]],[1]!Table2[#All],7,FALSE),0)</f>
        <v>0</v>
      </c>
      <c r="AQ38" s="25">
        <f>IF(Table1[[#This Row],[Adjusted_ULife_HP]]=4,VLOOKUP(Table1[[#This Row],[Item_Handpump]],[1]!Table2[#All],7,FALSE),0)</f>
        <v>0</v>
      </c>
      <c r="AR38" s="25">
        <f>IF(Table1[[#This Row],[Adjusted_ULife_PF]]=4,VLOOKUP(Table1[[#This Row],[Item_Platform]],[1]!Table2[#All],7,FALSE),0)</f>
        <v>0</v>
      </c>
      <c r="AS38" s="25">
        <f>SUM(Table1[[#This Row],[yr 4_wl]:[yr 4_pf]])</f>
        <v>0</v>
      </c>
      <c r="AT38" s="25">
        <f>IF(Table1[[#This Row],[Years_Next_Rehab_Well]]=5,VLOOKUP(Table1[[#This Row],[Item_Rehab_WL]],[1]!Table2[#All],8,FALSE),0)</f>
        <v>0</v>
      </c>
      <c r="AU38" s="25">
        <f>IF(Table1[[#This Row],[Adjusted_ULife_HP]]=5,VLOOKUP(Table1[[#This Row],[Item_Handpump]],[1]!Table2[#All],8,FALSE),0)</f>
        <v>0</v>
      </c>
      <c r="AV38" s="25">
        <f>IF(Table1[[#This Row],[Adjusted_ULife_PF]]=5,VLOOKUP(Table1[[#This Row],[Item_Platform]],[1]!Table2[#All],8,FALSE),0)</f>
        <v>0</v>
      </c>
      <c r="AW38" s="25">
        <f>SUM(Table1[[#This Row],[yr 5_wl]:[yr 5_pf]])</f>
        <v>0</v>
      </c>
      <c r="AX38" s="25">
        <f>IF(Table1[[#This Row],[Years_Next_Rehab_Well]]=6,VLOOKUP(Table1[[#This Row],[Item_Rehab_WL]],[1]!Table2[#All],9,FALSE),0)</f>
        <v>0</v>
      </c>
      <c r="AY38" s="25">
        <f>IF(Table1[[#This Row],[Adjusted_ULife_HP]]=6,VLOOKUP(Table1[[#This Row],[Item_Handpump]],[1]!Table2[#All],9,FALSE),0)</f>
        <v>0</v>
      </c>
      <c r="AZ38" s="25">
        <f>IF(Table1[[#This Row],[Adjusted_ULife_PF]]=6,VLOOKUP(Table1[[#This Row],[Item_Platform]],[1]!Table2[#All],9,FALSE),0)</f>
        <v>0</v>
      </c>
      <c r="BA38" s="25">
        <f>SUM(Table1[[#This Row],[yr 6_wl]:[yr 6_pf]])</f>
        <v>0</v>
      </c>
      <c r="BB38" s="25">
        <f>IF(Table1[[#This Row],[Years_Next_Rehab_Well]]=7,VLOOKUP(Table1[[#This Row],[Item_Rehab_WL]],[1]!Table2[#All],10,FALSE),0)</f>
        <v>0</v>
      </c>
      <c r="BC38" s="25">
        <f>IF(Table1[[#This Row],[Adjusted_ULife_HP]]=7,VLOOKUP(Table1[[#This Row],[Item_Handpump]],[1]!Table2[#All],10,FALSE),0)</f>
        <v>0</v>
      </c>
      <c r="BD38" s="25">
        <f>IF(Table1[[#This Row],[Adjusted_ULife_PF]]=7,VLOOKUP(Table1[[#This Row],[Item_Platform]],[1]!Table2[#All],10,FALSE),0)</f>
        <v>0</v>
      </c>
      <c r="BE38" s="25">
        <f>SUM(Table1[[#This Row],[yr 7_wl]:[yr 7_pf]])</f>
        <v>0</v>
      </c>
      <c r="BF38" s="25">
        <f>IF(Table1[[#This Row],[Years_Next_Rehab_Well]]=8,VLOOKUP(Table1[[#This Row],[Item_Rehab_WL]],[1]!Table2[#All],11,FALSE),0)</f>
        <v>0</v>
      </c>
      <c r="BG38" s="25">
        <f>IF(Table1[[#This Row],[Adjusted_ULife_HP]]=8,VLOOKUP(Table1[[#This Row],[Item_Handpump]],[1]!Table2[#All],11,FALSE),0)</f>
        <v>0</v>
      </c>
      <c r="BH38" s="25">
        <f>IF(Table1[[#This Row],[Adjusted_ULife_PF]]=8,VLOOKUP(Table1[[#This Row],[Item_Platform]],[1]!Table2[#All],11,FALSE),0)</f>
        <v>0</v>
      </c>
      <c r="BI38" s="25">
        <f>SUM(Table1[[#This Row],[yr 8_wl]:[yr 8_pf]])</f>
        <v>0</v>
      </c>
      <c r="BJ38" s="25">
        <f>IF(Table1[[#This Row],[Years_Next_Rehab_Well]]=9,VLOOKUP(Table1[[#This Row],[Item_Rehab_WL]],[1]!Table2[#All],12,FALSE),0)</f>
        <v>0</v>
      </c>
      <c r="BK38" s="25">
        <f>IF(Table1[[#This Row],[Adjusted_ULife_HP]]=9,VLOOKUP(Table1[[#This Row],[Item_Handpump]],[1]!Table2[#All],12,FALSE),0)</f>
        <v>0</v>
      </c>
      <c r="BL38" s="25">
        <f>IF(Table1[[#This Row],[Adjusted_ULife_PF]]=9,VLOOKUP(Table1[[#This Row],[Item_Platform]],[1]!Table2[#All],12,FALSE),0)</f>
        <v>4159.6181361752842</v>
      </c>
      <c r="BM38" s="25">
        <f>SUM(Table1[[#This Row],[yr 9_wl]:[yr 9_pf]])</f>
        <v>4159.6181361752842</v>
      </c>
      <c r="BN38" s="25">
        <f>IF(Table1[[#This Row],[Years_Next_Rehab_Well]]=10,VLOOKUP(Table1[[#This Row],[Item_Rehab_WL]],[1]!Table2[#All],13,FALSE),0)</f>
        <v>0</v>
      </c>
      <c r="BO38" s="25">
        <f>IF(Table1[[#This Row],[Adjusted_ULife_HP]]=10,VLOOKUP(Table1[[#This Row],[Item_Handpump]],[1]!Table2[#All],13,FALSE),0)</f>
        <v>0</v>
      </c>
      <c r="BP38" s="25">
        <f>IF(Table1[[#This Row],[Adjusted_ULife_PF]]=10,VLOOKUP(Table1[[#This Row],[Item_Platform]],[1]!Table2[#All],13,FALSE),0)</f>
        <v>0</v>
      </c>
      <c r="BQ38" s="25">
        <f>SUM(Table1[[#This Row],[yr 10_wl]:[yr 10_pf]])</f>
        <v>0</v>
      </c>
      <c r="BR38" s="25">
        <f>IF(Table1[[#This Row],[Years_Next_Rehab_Well]]=11,VLOOKUP(Table1[[#This Row],[Item_Rehab_WL]],[1]!Table2[#All],14,FALSE),0)</f>
        <v>0</v>
      </c>
      <c r="BS38" s="25">
        <f>IF(Table1[[#This Row],[Adjusted_ULife_HP]]=11,VLOOKUP(Table1[[#This Row],[Item_Handpump]],[1]!Table2[#All],14,FALSE),0)</f>
        <v>0</v>
      </c>
      <c r="BT38" s="25">
        <f>IF(Table1[[#This Row],[Adjusted_ULife_PF]]=11,VLOOKUP(Table1[[#This Row],[Item_Platform]],[1]!Table2[#All],14,FALSE),0)</f>
        <v>0</v>
      </c>
      <c r="BU38" s="25">
        <f>SUM(Table1[[#This Row],[yr 11_wl]:[yr 11_pf]])</f>
        <v>0</v>
      </c>
      <c r="BV38" s="25">
        <f>IF(Table1[[#This Row],[Years_Next_Rehab_Well]]=12,VLOOKUP(Table1[[#This Row],[Item_Rehab_WL]],[1]!Table2[#All],15,FALSE),0)</f>
        <v>0</v>
      </c>
      <c r="BW38" s="25">
        <f>IF(Table1[[#This Row],[Adjusted_ULife_HP]]=12,VLOOKUP(Table1[[#This Row],[Item_Handpump]],[1]!Table2[#All],15,FALSE),0)</f>
        <v>0</v>
      </c>
      <c r="BX38" s="25">
        <f>IF(Table1[[#This Row],[Adjusted_ULife_PF]]=12,VLOOKUP(Table1[[#This Row],[Item_Platform]],[1]!Table2[#All],15,FALSE),0)</f>
        <v>0</v>
      </c>
      <c r="BY38" s="25">
        <f>SUM(Table1[[#This Row],[yr 12_wl]:[yr 12_pf]])</f>
        <v>0</v>
      </c>
      <c r="BZ38" s="25">
        <f>IF(Table1[[#This Row],[Years_Next_Rehab_Well]]=13,VLOOKUP(Table1[[#This Row],[Item_Rehab_WL]],[1]!Table2[#All],16,FALSE),0)</f>
        <v>0</v>
      </c>
      <c r="CA38" s="25">
        <f>IF(Table1[[#This Row],[Adjusted_ULife_HP]]=13,VLOOKUP(Table1[[#This Row],[Item_Handpump]],[1]!Table2[#All],16,FALSE),0)</f>
        <v>0</v>
      </c>
      <c r="CB38" s="25">
        <f>IF(Table1[[#This Row],[Adjusted_ULife_PF]]=13,VLOOKUP(Table1[[#This Row],[Item_Platform]],[1]!Table2[#All],16,FALSE),0)</f>
        <v>0</v>
      </c>
      <c r="CC38" s="25">
        <f>SUM(Table1[[#This Row],[yr 13_wl]:[yr 13_pf]])</f>
        <v>0</v>
      </c>
      <c r="CD38" s="12"/>
    </row>
    <row r="39" spans="1:82" s="11" customFormat="1" x14ac:dyDescent="0.25">
      <c r="A39" s="11" t="str">
        <f>IF([1]Input_monitoring_data!A35="","",[1]Input_monitoring_data!A35)</f>
        <v>5fgj-97yq-et9q</v>
      </c>
      <c r="B39" s="22" t="str">
        <f>[1]Input_monitoring_data!BH35</f>
        <v>GAMBIA</v>
      </c>
      <c r="C39" s="22" t="str">
        <f>[1]Input_monitoring_data!BI35</f>
        <v>AGRAVI</v>
      </c>
      <c r="D39" s="22" t="str">
        <f>[1]Input_monitoring_data!P35</f>
        <v>7.03306479</v>
      </c>
      <c r="E39" s="22" t="str">
        <f>[1]Input_monitoring_data!Q35</f>
        <v>-2.70576934</v>
      </c>
      <c r="F39" s="22" t="str">
        <f>[1]Input_monitoring_data!V35</f>
        <v>At the back of the Coaco shed</v>
      </c>
      <c r="G39" s="23" t="str">
        <f>[1]Input_monitoring_data!U35</f>
        <v>Borehole</v>
      </c>
      <c r="H39" s="22">
        <f>[1]Input_monitoring_data!X35</f>
        <v>2017</v>
      </c>
      <c r="I39" s="21" t="str">
        <f>[1]Input_monitoring_data!AB35</f>
        <v>Borehole redevelopment</v>
      </c>
      <c r="J39" s="21">
        <f>[1]Input_monitoring_data!AC35</f>
        <v>0</v>
      </c>
      <c r="K39" s="23" t="str">
        <f>[1]Input_monitoring_data!W35</f>
        <v>AfriDev</v>
      </c>
      <c r="L39" s="22">
        <f>[1]Input_monitoring_data!X35</f>
        <v>2017</v>
      </c>
      <c r="M39" s="21" t="str">
        <f>IF([1]Input_monitoring_data!BL35&gt;'Point Sources_Asset_Register_'!L39,[1]Input_monitoring_data!BL35,"")</f>
        <v/>
      </c>
      <c r="N39" s="22" t="str">
        <f>[1]Input_monitoring_data!BQ35</f>
        <v>partially functional</v>
      </c>
      <c r="O39" s="22" t="str">
        <f>[1]Input_monitoring_data!AJ35</f>
        <v>Unknown</v>
      </c>
      <c r="P39" s="23" t="s">
        <v>0</v>
      </c>
      <c r="Q39" s="22">
        <f>L39</f>
        <v>2017</v>
      </c>
      <c r="R39" s="21" t="str">
        <f>M39</f>
        <v/>
      </c>
      <c r="S39" s="20">
        <f>[1]Input_EUL_CRC_ERC!$B$17-Table1[[#This Row],[Year Installed_WL]]</f>
        <v>0</v>
      </c>
      <c r="T39" s="20">
        <f>[1]Input_EUL_CRC_ERC!$B$17-(IF(Table1[[#This Row],[Year Last_Rehab_WL ]]=0,Table1[[#This Row],[Year Installed_WL]],[1]Input_EUL_CRC_ERC!$B$17-Table1[[#This Row],[Year Last_Rehab_WL ]]))</f>
        <v>0</v>
      </c>
      <c r="U39" s="20">
        <f>(VLOOKUP(Table1[[#This Row],[Item_Rehab_WL]],[1]Input_EUL_CRC_ERC!$C$17:$E$27,2,FALSE)-Table1[[#This Row],[Last Rehab Age]])</f>
        <v>15</v>
      </c>
      <c r="V39" s="19">
        <f>[1]Input_EUL_CRC_ERC!$B$17-Table1[[#This Row],[Year Installed_HP]]</f>
        <v>0</v>
      </c>
      <c r="W39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39" s="19">
        <f>[1]Input_EUL_CRC_ERC!$B$17-Table1[[#This Row],[Year Installed_PF]]</f>
        <v>0</v>
      </c>
      <c r="Y39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39" s="25">
        <f>IF(Table1[[#This Row],[Years_Next_Rehab_Well]]&lt;=0,VLOOKUP(Table1[[#This Row],[Item_Rehab_WL]],[1]!Table2[#All],3,FALSE),0)</f>
        <v>0</v>
      </c>
      <c r="AA39" s="18">
        <f>IF(Table1[[#This Row],[Adjusted_ULife_HP]]&lt;=0,VLOOKUP(Table1[[#This Row],[Item_Handpump]],[1]!Table2[#All],3,FALSE),0)</f>
        <v>0</v>
      </c>
      <c r="AB39" s="18">
        <f>IF(Table1[[#This Row],[Adjusted_ULife_PF]]&lt;=0,VLOOKUP(Table1[[#This Row],[Item_Platform]],[1]!Table2[#All],3,FALSE),0)</f>
        <v>0</v>
      </c>
      <c r="AC39" s="18">
        <f>SUM(Table1[[#This Row],[current yr_wl]:[current yr_pf]])</f>
        <v>0</v>
      </c>
      <c r="AD39" s="25">
        <f>IF(Table1[[#This Row],[Years_Next_Rehab_Well]]=1,VLOOKUP(Table1[[#This Row],[Item_Rehab_WL]],[1]!Table2[#All],4,FALSE),0)</f>
        <v>0</v>
      </c>
      <c r="AE39" s="25">
        <f>IF(Table1[[#This Row],[Adjusted_ULife_HP]]=1,VLOOKUP(Table1[[#This Row],[Item_Handpump]],[1]!Table2[#All],4,FALSE),0)</f>
        <v>0</v>
      </c>
      <c r="AF39" s="25">
        <f>IF(Table1[[#This Row],[Adjusted_ULife_PF]]=1,VLOOKUP(Table1[[#This Row],[Item_Platform]],[1]!Table2[#All],4,FALSE),0)</f>
        <v>0</v>
      </c>
      <c r="AG39" s="25">
        <f>SUM(Table1[[#This Row],[yr 1_wl]:[yr 1_pf]])</f>
        <v>0</v>
      </c>
      <c r="AH39" s="25">
        <f>IF(Table1[[#This Row],[Years_Next_Rehab_Well]]=2,VLOOKUP(Table1[[#This Row],[Item_Rehab_WL]],[1]!Table2[#All],5,FALSE),0)</f>
        <v>0</v>
      </c>
      <c r="AI39" s="25">
        <f>IF(Table1[[#This Row],[Adjusted_ULife_HP]]=2,VLOOKUP(Table1[[#This Row],[Item_Handpump]],[1]!Table2[#All],5,FALSE),0)</f>
        <v>0</v>
      </c>
      <c r="AJ39" s="25">
        <f>IF(Table1[[#This Row],[Adjusted_ULife_PF]]=2,VLOOKUP(Table1[[#This Row],[Item_Platform]],[1]!Table2[#All],5,FALSE),0)</f>
        <v>0</v>
      </c>
      <c r="AK39" s="25">
        <f>SUM(Table1[[#This Row],[yr 2_wl]:[yr 2_pf]])</f>
        <v>0</v>
      </c>
      <c r="AL39" s="25">
        <f>IF(Table1[[#This Row],[Years_Next_Rehab_Well]]=3,VLOOKUP(Table1[[#This Row],[Item_Rehab_WL]],[1]!Table2[#All],6,FALSE),0)</f>
        <v>0</v>
      </c>
      <c r="AM39" s="25">
        <f>IF(Table1[[#This Row],[Adjusted_ULife_HP]]=3,VLOOKUP(Table1[[#This Row],[Item_Handpump]],[1]!Table2[#All],6,FALSE),0)</f>
        <v>0</v>
      </c>
      <c r="AN39" s="25">
        <f>IF(Table1[[#This Row],[Adjusted_ULife_PF]]=3,VLOOKUP(Table1[[#This Row],[Item_Platform]],[1]!Table2[#All],6,FALSE),0)</f>
        <v>0</v>
      </c>
      <c r="AO39" s="25">
        <f>SUM(Table1[[#This Row],[yr 3_wl]:[yr 3_pf]])</f>
        <v>0</v>
      </c>
      <c r="AP39" s="25">
        <f>IF(Table1[[#This Row],[Years_Next_Rehab_Well]]=4,VLOOKUP(Table1[[#This Row],[Item_Rehab_WL]],[1]!Table2[#All],7,FALSE),0)</f>
        <v>0</v>
      </c>
      <c r="AQ39" s="25">
        <f>IF(Table1[[#This Row],[Adjusted_ULife_HP]]=4,VLOOKUP(Table1[[#This Row],[Item_Handpump]],[1]!Table2[#All],7,FALSE),0)</f>
        <v>0</v>
      </c>
      <c r="AR39" s="25">
        <f>IF(Table1[[#This Row],[Adjusted_ULife_PF]]=4,VLOOKUP(Table1[[#This Row],[Item_Platform]],[1]!Table2[#All],7,FALSE),0)</f>
        <v>0</v>
      </c>
      <c r="AS39" s="25">
        <f>SUM(Table1[[#This Row],[yr 4_wl]:[yr 4_pf]])</f>
        <v>0</v>
      </c>
      <c r="AT39" s="25">
        <f>IF(Table1[[#This Row],[Years_Next_Rehab_Well]]=5,VLOOKUP(Table1[[#This Row],[Item_Rehab_WL]],[1]!Table2[#All],8,FALSE),0)</f>
        <v>0</v>
      </c>
      <c r="AU39" s="25">
        <f>IF(Table1[[#This Row],[Adjusted_ULife_HP]]=5,VLOOKUP(Table1[[#This Row],[Item_Handpump]],[1]!Table2[#All],8,FALSE),0)</f>
        <v>0</v>
      </c>
      <c r="AV39" s="25">
        <f>IF(Table1[[#This Row],[Adjusted_ULife_PF]]=5,VLOOKUP(Table1[[#This Row],[Item_Platform]],[1]!Table2[#All],8,FALSE),0)</f>
        <v>0</v>
      </c>
      <c r="AW39" s="25">
        <f>SUM(Table1[[#This Row],[yr 5_wl]:[yr 5_pf]])</f>
        <v>0</v>
      </c>
      <c r="AX39" s="25">
        <f>IF(Table1[[#This Row],[Years_Next_Rehab_Well]]=6,VLOOKUP(Table1[[#This Row],[Item_Rehab_WL]],[1]!Table2[#All],9,FALSE),0)</f>
        <v>0</v>
      </c>
      <c r="AY39" s="25">
        <f>IF(Table1[[#This Row],[Adjusted_ULife_HP]]=6,VLOOKUP(Table1[[#This Row],[Item_Handpump]],[1]!Table2[#All],9,FALSE),0)</f>
        <v>0</v>
      </c>
      <c r="AZ39" s="25">
        <f>IF(Table1[[#This Row],[Adjusted_ULife_PF]]=6,VLOOKUP(Table1[[#This Row],[Item_Platform]],[1]!Table2[#All],9,FALSE),0)</f>
        <v>0</v>
      </c>
      <c r="BA39" s="25">
        <f>SUM(Table1[[#This Row],[yr 6_wl]:[yr 6_pf]])</f>
        <v>0</v>
      </c>
      <c r="BB39" s="25">
        <f>IF(Table1[[#This Row],[Years_Next_Rehab_Well]]=7,VLOOKUP(Table1[[#This Row],[Item_Rehab_WL]],[1]!Table2[#All],10,FALSE),0)</f>
        <v>0</v>
      </c>
      <c r="BC39" s="25">
        <f>IF(Table1[[#This Row],[Adjusted_ULife_HP]]=7,VLOOKUP(Table1[[#This Row],[Item_Handpump]],[1]!Table2[#All],10,FALSE),0)</f>
        <v>0</v>
      </c>
      <c r="BD39" s="25">
        <f>IF(Table1[[#This Row],[Adjusted_ULife_PF]]=7,VLOOKUP(Table1[[#This Row],[Item_Platform]],[1]!Table2[#All],10,FALSE),0)</f>
        <v>0</v>
      </c>
      <c r="BE39" s="25">
        <f>SUM(Table1[[#This Row],[yr 7_wl]:[yr 7_pf]])</f>
        <v>0</v>
      </c>
      <c r="BF39" s="25">
        <f>IF(Table1[[#This Row],[Years_Next_Rehab_Well]]=8,VLOOKUP(Table1[[#This Row],[Item_Rehab_WL]],[1]!Table2[#All],11,FALSE),0)</f>
        <v>0</v>
      </c>
      <c r="BG39" s="25">
        <f>IF(Table1[[#This Row],[Adjusted_ULife_HP]]=8,VLOOKUP(Table1[[#This Row],[Item_Handpump]],[1]!Table2[#All],11,FALSE),0)</f>
        <v>0</v>
      </c>
      <c r="BH39" s="25">
        <f>IF(Table1[[#This Row],[Adjusted_ULife_PF]]=8,VLOOKUP(Table1[[#This Row],[Item_Platform]],[1]!Table2[#All],11,FALSE),0)</f>
        <v>0</v>
      </c>
      <c r="BI39" s="25">
        <f>SUM(Table1[[#This Row],[yr 8_wl]:[yr 8_pf]])</f>
        <v>0</v>
      </c>
      <c r="BJ39" s="25">
        <f>IF(Table1[[#This Row],[Years_Next_Rehab_Well]]=9,VLOOKUP(Table1[[#This Row],[Item_Rehab_WL]],[1]!Table2[#All],12,FALSE),0)</f>
        <v>0</v>
      </c>
      <c r="BK39" s="25">
        <f>IF(Table1[[#This Row],[Adjusted_ULife_HP]]=9,VLOOKUP(Table1[[#This Row],[Item_Handpump]],[1]!Table2[#All],12,FALSE),0)</f>
        <v>0</v>
      </c>
      <c r="BL39" s="25">
        <f>IF(Table1[[#This Row],[Adjusted_ULife_PF]]=9,VLOOKUP(Table1[[#This Row],[Item_Platform]],[1]!Table2[#All],12,FALSE),0)</f>
        <v>0</v>
      </c>
      <c r="BM39" s="25">
        <f>SUM(Table1[[#This Row],[yr 9_wl]:[yr 9_pf]])</f>
        <v>0</v>
      </c>
      <c r="BN39" s="25">
        <f>IF(Table1[[#This Row],[Years_Next_Rehab_Well]]=10,VLOOKUP(Table1[[#This Row],[Item_Rehab_WL]],[1]!Table2[#All],13,FALSE),0)</f>
        <v>0</v>
      </c>
      <c r="BO39" s="25">
        <f>IF(Table1[[#This Row],[Adjusted_ULife_HP]]=10,VLOOKUP(Table1[[#This Row],[Item_Handpump]],[1]!Table2[#All],13,FALSE),0)</f>
        <v>0</v>
      </c>
      <c r="BP39" s="25">
        <f>IF(Table1[[#This Row],[Adjusted_ULife_PF]]=10,VLOOKUP(Table1[[#This Row],[Item_Platform]],[1]!Table2[#All],13,FALSE),0)</f>
        <v>4658.7723125163184</v>
      </c>
      <c r="BQ39" s="25">
        <f>SUM(Table1[[#This Row],[yr 10_wl]:[yr 10_pf]])</f>
        <v>4658.7723125163184</v>
      </c>
      <c r="BR39" s="25">
        <f>IF(Table1[[#This Row],[Years_Next_Rehab_Well]]=11,VLOOKUP(Table1[[#This Row],[Item_Rehab_WL]],[1]!Table2[#All],14,FALSE),0)</f>
        <v>0</v>
      </c>
      <c r="BS39" s="25">
        <f>IF(Table1[[#This Row],[Adjusted_ULife_HP]]=11,VLOOKUP(Table1[[#This Row],[Item_Handpump]],[1]!Table2[#All],14,FALSE),0)</f>
        <v>0</v>
      </c>
      <c r="BT39" s="25">
        <f>IF(Table1[[#This Row],[Adjusted_ULife_PF]]=11,VLOOKUP(Table1[[#This Row],[Item_Platform]],[1]!Table2[#All],14,FALSE),0)</f>
        <v>0</v>
      </c>
      <c r="BU39" s="25">
        <f>SUM(Table1[[#This Row],[yr 11_wl]:[yr 11_pf]])</f>
        <v>0</v>
      </c>
      <c r="BV39" s="25">
        <f>IF(Table1[[#This Row],[Years_Next_Rehab_Well]]=12,VLOOKUP(Table1[[#This Row],[Item_Rehab_WL]],[1]!Table2[#All],15,FALSE),0)</f>
        <v>0</v>
      </c>
      <c r="BW39" s="25">
        <f>IF(Table1[[#This Row],[Adjusted_ULife_HP]]=12,VLOOKUP(Table1[[#This Row],[Item_Handpump]],[1]!Table2[#All],15,FALSE),0)</f>
        <v>0</v>
      </c>
      <c r="BX39" s="25">
        <f>IF(Table1[[#This Row],[Adjusted_ULife_PF]]=12,VLOOKUP(Table1[[#This Row],[Item_Platform]],[1]!Table2[#All],15,FALSE),0)</f>
        <v>0</v>
      </c>
      <c r="BY39" s="25">
        <f>SUM(Table1[[#This Row],[yr 12_wl]:[yr 12_pf]])</f>
        <v>0</v>
      </c>
      <c r="BZ39" s="25">
        <f>IF(Table1[[#This Row],[Years_Next_Rehab_Well]]=13,VLOOKUP(Table1[[#This Row],[Item_Rehab_WL]],[1]!Table2[#All],16,FALSE),0)</f>
        <v>0</v>
      </c>
      <c r="CA39" s="25">
        <f>IF(Table1[[#This Row],[Adjusted_ULife_HP]]=13,VLOOKUP(Table1[[#This Row],[Item_Handpump]],[1]!Table2[#All],16,FALSE),0)</f>
        <v>0</v>
      </c>
      <c r="CB39" s="25">
        <f>IF(Table1[[#This Row],[Adjusted_ULife_PF]]=13,VLOOKUP(Table1[[#This Row],[Item_Platform]],[1]!Table2[#All],16,FALSE),0)</f>
        <v>0</v>
      </c>
      <c r="CC39" s="25">
        <f>SUM(Table1[[#This Row],[yr 13_wl]:[yr 13_pf]])</f>
        <v>0</v>
      </c>
      <c r="CD39" s="12"/>
    </row>
    <row r="40" spans="1:82" s="11" customFormat="1" x14ac:dyDescent="0.25">
      <c r="A40" s="11" t="str">
        <f>IF([1]Input_monitoring_data!A36="","",[1]Input_monitoring_data!A36)</f>
        <v>5j4b-cjc3-8sa7</v>
      </c>
      <c r="B40" s="22" t="str">
        <f>[1]Input_monitoring_data!BH36</f>
        <v>Ntotroso</v>
      </c>
      <c r="C40" s="22" t="str">
        <f>[1]Input_monitoring_data!BI36</f>
        <v>Amunkonakrom</v>
      </c>
      <c r="D40" s="22" t="str">
        <f>[1]Input_monitoring_data!P36</f>
        <v>7.053409188270725</v>
      </c>
      <c r="E40" s="22" t="str">
        <f>[1]Input_monitoring_data!Q36</f>
        <v>-2.3556037788123687</v>
      </c>
      <c r="F40" s="22" t="str">
        <f>[1]Input_monitoring_data!V36</f>
        <v>Infront Of Iddruso Gariba's House</v>
      </c>
      <c r="G40" s="23" t="str">
        <f>[1]Input_monitoring_data!U36</f>
        <v>Borehole</v>
      </c>
      <c r="H40" s="22">
        <f>[1]Input_monitoring_data!X36</f>
        <v>2008</v>
      </c>
      <c r="I40" s="21" t="str">
        <f>[1]Input_monitoring_data!AB36</f>
        <v>Borehole redevelopment</v>
      </c>
      <c r="J40" s="21">
        <f>[1]Input_monitoring_data!AC36</f>
        <v>0</v>
      </c>
      <c r="K40" s="23" t="str">
        <f>[1]Input_monitoring_data!W36</f>
        <v>AfriDev</v>
      </c>
      <c r="L40" s="22">
        <f>[1]Input_monitoring_data!X36</f>
        <v>2008</v>
      </c>
      <c r="M40" s="21" t="str">
        <f>IF([1]Input_monitoring_data!BL36&gt;'Point Sources_Asset_Register_'!L40,[1]Input_monitoring_data!BL36,"")</f>
        <v/>
      </c>
      <c r="N40" s="22" t="str">
        <f>[1]Input_monitoring_data!BQ36</f>
        <v>functional</v>
      </c>
      <c r="O40" s="22">
        <f>[1]Input_monitoring_data!AJ36</f>
        <v>0</v>
      </c>
      <c r="P40" s="23" t="s">
        <v>0</v>
      </c>
      <c r="Q40" s="22">
        <f>L40</f>
        <v>2008</v>
      </c>
      <c r="R40" s="21" t="str">
        <f>M40</f>
        <v/>
      </c>
      <c r="S40" s="20">
        <f>[1]Input_EUL_CRC_ERC!$B$17-Table1[[#This Row],[Year Installed_WL]]</f>
        <v>9</v>
      </c>
      <c r="T40" s="20">
        <f>[1]Input_EUL_CRC_ERC!$B$17-(IF(Table1[[#This Row],[Year Last_Rehab_WL ]]=0,Table1[[#This Row],[Year Installed_WL]],[1]Input_EUL_CRC_ERC!$B$17-Table1[[#This Row],[Year Last_Rehab_WL ]]))</f>
        <v>9</v>
      </c>
      <c r="U40" s="20">
        <f>(VLOOKUP(Table1[[#This Row],[Item_Rehab_WL]],[1]Input_EUL_CRC_ERC!$C$17:$E$27,2,FALSE)-Table1[[#This Row],[Last Rehab Age]])</f>
        <v>6</v>
      </c>
      <c r="V40" s="19">
        <f>[1]Input_EUL_CRC_ERC!$B$17-Table1[[#This Row],[Year Installed_HP]]</f>
        <v>9</v>
      </c>
      <c r="W40" s="19">
        <f>(VLOOKUP(Table1[[#This Row],[Item_Handpump]],[1]!Table2[#All],2,FALSE))-(IF(Table1[[#This Row],[Year Last_Rehab_HP]]="",Table1[[#This Row],[Current Age_Handpump]],[1]Input_EUL_CRC_ERC!$B$17-Table1[[#This Row],[Year Last_Rehab_HP]]))</f>
        <v>11</v>
      </c>
      <c r="X40" s="19">
        <f>[1]Input_EUL_CRC_ERC!$B$17-Table1[[#This Row],[Year Installed_PF]]</f>
        <v>9</v>
      </c>
      <c r="Y40" s="19">
        <f>(VLOOKUP(Table1[[#This Row],[Item_Platform]],[1]!Table2[#All],2,FALSE))-(IF(Table1[[#This Row],[Year Last_Rehab_PF]]="",Table1[[#This Row],[Current Age_Platform]],[1]Input_EUL_CRC_ERC!$B$17-Table1[[#This Row],[Year Last_Rehab_PF]]))</f>
        <v>1</v>
      </c>
      <c r="Z40" s="25">
        <f>IF(Table1[[#This Row],[Years_Next_Rehab_Well]]&lt;=0,VLOOKUP(Table1[[#This Row],[Item_Rehab_WL]],[1]!Table2[#All],3,FALSE),0)</f>
        <v>0</v>
      </c>
      <c r="AA40" s="18">
        <f>IF(Table1[[#This Row],[Adjusted_ULife_HP]]&lt;=0,VLOOKUP(Table1[[#This Row],[Item_Handpump]],[1]!Table2[#All],3,FALSE),0)</f>
        <v>0</v>
      </c>
      <c r="AB40" s="18">
        <f>IF(Table1[[#This Row],[Adjusted_ULife_PF]]&lt;=0,VLOOKUP(Table1[[#This Row],[Item_Platform]],[1]!Table2[#All],3,FALSE),0)</f>
        <v>0</v>
      </c>
      <c r="AC40" s="18">
        <f>SUM(Table1[[#This Row],[current yr_wl]:[current yr_pf]])</f>
        <v>0</v>
      </c>
      <c r="AD40" s="25">
        <f>IF(Table1[[#This Row],[Years_Next_Rehab_Well]]=1,VLOOKUP(Table1[[#This Row],[Item_Rehab_WL]],[1]!Table2[#All],4,FALSE),0)</f>
        <v>0</v>
      </c>
      <c r="AE40" s="25">
        <f>IF(Table1[[#This Row],[Adjusted_ULife_HP]]=1,VLOOKUP(Table1[[#This Row],[Item_Handpump]],[1]!Table2[#All],4,FALSE),0)</f>
        <v>0</v>
      </c>
      <c r="AF40" s="25">
        <f>IF(Table1[[#This Row],[Adjusted_ULife_PF]]=1,VLOOKUP(Table1[[#This Row],[Item_Platform]],[1]!Table2[#All],4,FALSE),0)</f>
        <v>1680.0000000000002</v>
      </c>
      <c r="AG40" s="25">
        <f>SUM(Table1[[#This Row],[yr 1_wl]:[yr 1_pf]])</f>
        <v>1680.0000000000002</v>
      </c>
      <c r="AH40" s="25">
        <f>IF(Table1[[#This Row],[Years_Next_Rehab_Well]]=2,VLOOKUP(Table1[[#This Row],[Item_Rehab_WL]],[1]!Table2[#All],5,FALSE),0)</f>
        <v>0</v>
      </c>
      <c r="AI40" s="25">
        <f>IF(Table1[[#This Row],[Adjusted_ULife_HP]]=2,VLOOKUP(Table1[[#This Row],[Item_Handpump]],[1]!Table2[#All],5,FALSE),0)</f>
        <v>0</v>
      </c>
      <c r="AJ40" s="25">
        <f>IF(Table1[[#This Row],[Adjusted_ULife_PF]]=2,VLOOKUP(Table1[[#This Row],[Item_Platform]],[1]!Table2[#All],5,FALSE),0)</f>
        <v>0</v>
      </c>
      <c r="AK40" s="25">
        <f>SUM(Table1[[#This Row],[yr 2_wl]:[yr 2_pf]])</f>
        <v>0</v>
      </c>
      <c r="AL40" s="25">
        <f>IF(Table1[[#This Row],[Years_Next_Rehab_Well]]=3,VLOOKUP(Table1[[#This Row],[Item_Rehab_WL]],[1]!Table2[#All],6,FALSE),0)</f>
        <v>0</v>
      </c>
      <c r="AM40" s="25">
        <f>IF(Table1[[#This Row],[Adjusted_ULife_HP]]=3,VLOOKUP(Table1[[#This Row],[Item_Handpump]],[1]!Table2[#All],6,FALSE),0)</f>
        <v>0</v>
      </c>
      <c r="AN40" s="25">
        <f>IF(Table1[[#This Row],[Adjusted_ULife_PF]]=3,VLOOKUP(Table1[[#This Row],[Item_Platform]],[1]!Table2[#All],6,FALSE),0)</f>
        <v>0</v>
      </c>
      <c r="AO40" s="25">
        <f>SUM(Table1[[#This Row],[yr 3_wl]:[yr 3_pf]])</f>
        <v>0</v>
      </c>
      <c r="AP40" s="25">
        <f>IF(Table1[[#This Row],[Years_Next_Rehab_Well]]=4,VLOOKUP(Table1[[#This Row],[Item_Rehab_WL]],[1]!Table2[#All],7,FALSE),0)</f>
        <v>0</v>
      </c>
      <c r="AQ40" s="25">
        <f>IF(Table1[[#This Row],[Adjusted_ULife_HP]]=4,VLOOKUP(Table1[[#This Row],[Item_Handpump]],[1]!Table2[#All],7,FALSE),0)</f>
        <v>0</v>
      </c>
      <c r="AR40" s="25">
        <f>IF(Table1[[#This Row],[Adjusted_ULife_PF]]=4,VLOOKUP(Table1[[#This Row],[Item_Platform]],[1]!Table2[#All],7,FALSE),0)</f>
        <v>0</v>
      </c>
      <c r="AS40" s="25">
        <f>SUM(Table1[[#This Row],[yr 4_wl]:[yr 4_pf]])</f>
        <v>0</v>
      </c>
      <c r="AT40" s="25">
        <f>IF(Table1[[#This Row],[Years_Next_Rehab_Well]]=5,VLOOKUP(Table1[[#This Row],[Item_Rehab_WL]],[1]!Table2[#All],8,FALSE),0)</f>
        <v>0</v>
      </c>
      <c r="AU40" s="25">
        <f>IF(Table1[[#This Row],[Adjusted_ULife_HP]]=5,VLOOKUP(Table1[[#This Row],[Item_Handpump]],[1]!Table2[#All],8,FALSE),0)</f>
        <v>0</v>
      </c>
      <c r="AV40" s="25">
        <f>IF(Table1[[#This Row],[Adjusted_ULife_PF]]=5,VLOOKUP(Table1[[#This Row],[Item_Platform]],[1]!Table2[#All],8,FALSE),0)</f>
        <v>0</v>
      </c>
      <c r="AW40" s="25">
        <f>SUM(Table1[[#This Row],[yr 5_wl]:[yr 5_pf]])</f>
        <v>0</v>
      </c>
      <c r="AX40" s="25">
        <f>IF(Table1[[#This Row],[Years_Next_Rehab_Well]]=6,VLOOKUP(Table1[[#This Row],[Item_Rehab_WL]],[1]!Table2[#All],9,FALSE),0)</f>
        <v>7237.3498456746702</v>
      </c>
      <c r="AY40" s="25">
        <f>IF(Table1[[#This Row],[Adjusted_ULife_HP]]=6,VLOOKUP(Table1[[#This Row],[Item_Handpump]],[1]!Table2[#All],9,FALSE),0)</f>
        <v>0</v>
      </c>
      <c r="AZ40" s="25">
        <f>IF(Table1[[#This Row],[Adjusted_ULife_PF]]=6,VLOOKUP(Table1[[#This Row],[Item_Platform]],[1]!Table2[#All],9,FALSE),0)</f>
        <v>0</v>
      </c>
      <c r="BA40" s="25">
        <f>SUM(Table1[[#This Row],[yr 6_wl]:[yr 6_pf]])</f>
        <v>7237.3498456746702</v>
      </c>
      <c r="BB40" s="25">
        <f>IF(Table1[[#This Row],[Years_Next_Rehab_Well]]=7,VLOOKUP(Table1[[#This Row],[Item_Rehab_WL]],[1]!Table2[#All],10,FALSE),0)</f>
        <v>0</v>
      </c>
      <c r="BC40" s="25">
        <f>IF(Table1[[#This Row],[Adjusted_ULife_HP]]=7,VLOOKUP(Table1[[#This Row],[Item_Handpump]],[1]!Table2[#All],10,FALSE),0)</f>
        <v>0</v>
      </c>
      <c r="BD40" s="25">
        <f>IF(Table1[[#This Row],[Adjusted_ULife_PF]]=7,VLOOKUP(Table1[[#This Row],[Item_Platform]],[1]!Table2[#All],10,FALSE),0)</f>
        <v>0</v>
      </c>
      <c r="BE40" s="25">
        <f>SUM(Table1[[#This Row],[yr 7_wl]:[yr 7_pf]])</f>
        <v>0</v>
      </c>
      <c r="BF40" s="25">
        <f>IF(Table1[[#This Row],[Years_Next_Rehab_Well]]=8,VLOOKUP(Table1[[#This Row],[Item_Rehab_WL]],[1]!Table2[#All],11,FALSE),0)</f>
        <v>0</v>
      </c>
      <c r="BG40" s="25">
        <f>IF(Table1[[#This Row],[Adjusted_ULife_HP]]=8,VLOOKUP(Table1[[#This Row],[Item_Handpump]],[1]!Table2[#All],11,FALSE),0)</f>
        <v>0</v>
      </c>
      <c r="BH40" s="25">
        <f>IF(Table1[[#This Row],[Adjusted_ULife_PF]]=8,VLOOKUP(Table1[[#This Row],[Item_Platform]],[1]!Table2[#All],11,FALSE),0)</f>
        <v>0</v>
      </c>
      <c r="BI40" s="25">
        <f>SUM(Table1[[#This Row],[yr 8_wl]:[yr 8_pf]])</f>
        <v>0</v>
      </c>
      <c r="BJ40" s="25">
        <f>IF(Table1[[#This Row],[Years_Next_Rehab_Well]]=9,VLOOKUP(Table1[[#This Row],[Item_Rehab_WL]],[1]!Table2[#All],12,FALSE),0)</f>
        <v>0</v>
      </c>
      <c r="BK40" s="25">
        <f>IF(Table1[[#This Row],[Adjusted_ULife_HP]]=9,VLOOKUP(Table1[[#This Row],[Item_Handpump]],[1]!Table2[#All],12,FALSE),0)</f>
        <v>0</v>
      </c>
      <c r="BL40" s="25">
        <f>IF(Table1[[#This Row],[Adjusted_ULife_PF]]=9,VLOOKUP(Table1[[#This Row],[Item_Platform]],[1]!Table2[#All],12,FALSE),0)</f>
        <v>0</v>
      </c>
      <c r="BM40" s="25">
        <f>SUM(Table1[[#This Row],[yr 9_wl]:[yr 9_pf]])</f>
        <v>0</v>
      </c>
      <c r="BN40" s="25">
        <f>IF(Table1[[#This Row],[Years_Next_Rehab_Well]]=10,VLOOKUP(Table1[[#This Row],[Item_Rehab_WL]],[1]!Table2[#All],13,FALSE),0)</f>
        <v>0</v>
      </c>
      <c r="BO40" s="25">
        <f>IF(Table1[[#This Row],[Adjusted_ULife_HP]]=10,VLOOKUP(Table1[[#This Row],[Item_Handpump]],[1]!Table2[#All],13,FALSE),0)</f>
        <v>0</v>
      </c>
      <c r="BP40" s="25">
        <f>IF(Table1[[#This Row],[Adjusted_ULife_PF]]=10,VLOOKUP(Table1[[#This Row],[Item_Platform]],[1]!Table2[#All],13,FALSE),0)</f>
        <v>0</v>
      </c>
      <c r="BQ40" s="25">
        <f>SUM(Table1[[#This Row],[yr 10_wl]:[yr 10_pf]])</f>
        <v>0</v>
      </c>
      <c r="BR40" s="25">
        <f>IF(Table1[[#This Row],[Years_Next_Rehab_Well]]=11,VLOOKUP(Table1[[#This Row],[Item_Rehab_WL]],[1]!Table2[#All],14,FALSE),0)</f>
        <v>0</v>
      </c>
      <c r="BS40" s="25">
        <f>IF(Table1[[#This Row],[Adjusted_ULife_HP]]=11,VLOOKUP(Table1[[#This Row],[Item_Handpump]],[1]!Table2[#All],14,FALSE),0)</f>
        <v>1391.4199973382069</v>
      </c>
      <c r="BT40" s="25">
        <f>IF(Table1[[#This Row],[Adjusted_ULife_PF]]=11,VLOOKUP(Table1[[#This Row],[Item_Platform]],[1]!Table2[#All],14,FALSE),0)</f>
        <v>0</v>
      </c>
      <c r="BU40" s="25">
        <f>SUM(Table1[[#This Row],[yr 11_wl]:[yr 11_pf]])</f>
        <v>1391.4199973382069</v>
      </c>
      <c r="BV40" s="25">
        <f>IF(Table1[[#This Row],[Years_Next_Rehab_Well]]=12,VLOOKUP(Table1[[#This Row],[Item_Rehab_WL]],[1]!Table2[#All],15,FALSE),0)</f>
        <v>0</v>
      </c>
      <c r="BW40" s="25">
        <f>IF(Table1[[#This Row],[Adjusted_ULife_HP]]=12,VLOOKUP(Table1[[#This Row],[Item_Handpump]],[1]!Table2[#All],15,FALSE),0)</f>
        <v>0</v>
      </c>
      <c r="BX40" s="25">
        <f>IF(Table1[[#This Row],[Adjusted_ULife_PF]]=12,VLOOKUP(Table1[[#This Row],[Item_Platform]],[1]!Table2[#All],15,FALSE),0)</f>
        <v>0</v>
      </c>
      <c r="BY40" s="25">
        <f>SUM(Table1[[#This Row],[yr 12_wl]:[yr 12_pf]])</f>
        <v>0</v>
      </c>
      <c r="BZ40" s="25">
        <f>IF(Table1[[#This Row],[Years_Next_Rehab_Well]]=13,VLOOKUP(Table1[[#This Row],[Item_Rehab_WL]],[1]!Table2[#All],16,FALSE),0)</f>
        <v>0</v>
      </c>
      <c r="CA40" s="25">
        <f>IF(Table1[[#This Row],[Adjusted_ULife_HP]]=13,VLOOKUP(Table1[[#This Row],[Item_Handpump]],[1]!Table2[#All],16,FALSE),0)</f>
        <v>0</v>
      </c>
      <c r="CB40" s="25">
        <f>IF(Table1[[#This Row],[Adjusted_ULife_PF]]=13,VLOOKUP(Table1[[#This Row],[Item_Platform]],[1]!Table2[#All],16,FALSE),0)</f>
        <v>0</v>
      </c>
      <c r="CC40" s="25">
        <f>SUM(Table1[[#This Row],[yr 13_wl]:[yr 13_pf]])</f>
        <v>0</v>
      </c>
      <c r="CD40" s="12"/>
    </row>
    <row r="41" spans="1:82" s="11" customFormat="1" x14ac:dyDescent="0.25">
      <c r="A41" s="11" t="str">
        <f>IF([1]Input_monitoring_data!A37="","",[1]Input_monitoring_data!A37)</f>
        <v>5v13-4vgt-hbwy</v>
      </c>
      <c r="B41" s="22" t="str">
        <f>[1]Input_monitoring_data!BH37</f>
        <v>Ntotroso</v>
      </c>
      <c r="C41" s="22" t="str">
        <f>[1]Input_monitoring_data!BI37</f>
        <v>Wamahinso SHS</v>
      </c>
      <c r="D41" s="22" t="str">
        <f>[1]Input_monitoring_data!P37</f>
        <v>7.085365372176343</v>
      </c>
      <c r="E41" s="22" t="str">
        <f>[1]Input_monitoring_data!Q37</f>
        <v>-2.338014930962744</v>
      </c>
      <c r="F41" s="22" t="str">
        <f>[1]Input_monitoring_data!V37</f>
        <v>At The Gyamfi Kumanin S H S Premises</v>
      </c>
      <c r="G41" s="23" t="str">
        <f>[1]Input_monitoring_data!U37</f>
        <v>Borehole</v>
      </c>
      <c r="H41" s="22">
        <f>[1]Input_monitoring_data!X37</f>
        <v>2012</v>
      </c>
      <c r="I41" s="21" t="str">
        <f>[1]Input_monitoring_data!AB37</f>
        <v>Borehole redevelopment</v>
      </c>
      <c r="J41" s="21">
        <f>[1]Input_monitoring_data!AC37</f>
        <v>0</v>
      </c>
      <c r="K41" s="23" t="str">
        <f>[1]Input_monitoring_data!W37</f>
        <v>AfriDev</v>
      </c>
      <c r="L41" s="22">
        <f>[1]Input_monitoring_data!X37</f>
        <v>2012</v>
      </c>
      <c r="M41" s="21">
        <f>IF([1]Input_monitoring_data!BL37&gt;'Point Sources_Asset_Register_'!L41,[1]Input_monitoring_data!BL37,"")</f>
        <v>2014</v>
      </c>
      <c r="N41" s="22" t="str">
        <f>[1]Input_monitoring_data!BQ37</f>
        <v>not functional</v>
      </c>
      <c r="O41" s="22">
        <f>[1]Input_monitoring_data!AJ37</f>
        <v>0</v>
      </c>
      <c r="P41" s="23" t="s">
        <v>0</v>
      </c>
      <c r="Q41" s="22">
        <f>L41</f>
        <v>2012</v>
      </c>
      <c r="R41" s="21">
        <f>M41</f>
        <v>2014</v>
      </c>
      <c r="S41" s="20">
        <f>[1]Input_EUL_CRC_ERC!$B$17-Table1[[#This Row],[Year Installed_WL]]</f>
        <v>5</v>
      </c>
      <c r="T41" s="20">
        <f>[1]Input_EUL_CRC_ERC!$B$17-(IF(Table1[[#This Row],[Year Last_Rehab_WL ]]=0,Table1[[#This Row],[Year Installed_WL]],[1]Input_EUL_CRC_ERC!$B$17-Table1[[#This Row],[Year Last_Rehab_WL ]]))</f>
        <v>5</v>
      </c>
      <c r="U41" s="20">
        <f>(VLOOKUP(Table1[[#This Row],[Item_Rehab_WL]],[1]Input_EUL_CRC_ERC!$C$17:$E$27,2,FALSE)-Table1[[#This Row],[Last Rehab Age]])</f>
        <v>10</v>
      </c>
      <c r="V41" s="19">
        <f>[1]Input_EUL_CRC_ERC!$B$17-Table1[[#This Row],[Year Installed_HP]]</f>
        <v>5</v>
      </c>
      <c r="W41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41" s="19">
        <f>[1]Input_EUL_CRC_ERC!$B$17-Table1[[#This Row],[Year Installed_PF]]</f>
        <v>5</v>
      </c>
      <c r="Y41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41" s="25">
        <f>IF(Table1[[#This Row],[Years_Next_Rehab_Well]]&lt;=0,VLOOKUP(Table1[[#This Row],[Item_Rehab_WL]],[1]!Table2[#All],3,FALSE),0)</f>
        <v>0</v>
      </c>
      <c r="AA41" s="18">
        <f>IF(Table1[[#This Row],[Adjusted_ULife_HP]]&lt;=0,VLOOKUP(Table1[[#This Row],[Item_Handpump]],[1]!Table2[#All],3,FALSE),0)</f>
        <v>0</v>
      </c>
      <c r="AB41" s="18">
        <f>IF(Table1[[#This Row],[Adjusted_ULife_PF]]&lt;=0,VLOOKUP(Table1[[#This Row],[Item_Platform]],[1]!Table2[#All],3,FALSE),0)</f>
        <v>0</v>
      </c>
      <c r="AC41" s="18">
        <f>SUM(Table1[[#This Row],[current yr_wl]:[current yr_pf]])</f>
        <v>0</v>
      </c>
      <c r="AD41" s="25">
        <f>IF(Table1[[#This Row],[Years_Next_Rehab_Well]]=1,VLOOKUP(Table1[[#This Row],[Item_Rehab_WL]],[1]!Table2[#All],4,FALSE),0)</f>
        <v>0</v>
      </c>
      <c r="AE41" s="25">
        <f>IF(Table1[[#This Row],[Adjusted_ULife_HP]]=1,VLOOKUP(Table1[[#This Row],[Item_Handpump]],[1]!Table2[#All],4,FALSE),0)</f>
        <v>0</v>
      </c>
      <c r="AF41" s="25">
        <f>IF(Table1[[#This Row],[Adjusted_ULife_PF]]=1,VLOOKUP(Table1[[#This Row],[Item_Platform]],[1]!Table2[#All],4,FALSE),0)</f>
        <v>0</v>
      </c>
      <c r="AG41" s="25">
        <f>SUM(Table1[[#This Row],[yr 1_wl]:[yr 1_pf]])</f>
        <v>0</v>
      </c>
      <c r="AH41" s="25">
        <f>IF(Table1[[#This Row],[Years_Next_Rehab_Well]]=2,VLOOKUP(Table1[[#This Row],[Item_Rehab_WL]],[1]!Table2[#All],5,FALSE),0)</f>
        <v>0</v>
      </c>
      <c r="AI41" s="25">
        <f>IF(Table1[[#This Row],[Adjusted_ULife_HP]]=2,VLOOKUP(Table1[[#This Row],[Item_Handpump]],[1]!Table2[#All],5,FALSE),0)</f>
        <v>0</v>
      </c>
      <c r="AJ41" s="25">
        <f>IF(Table1[[#This Row],[Adjusted_ULife_PF]]=2,VLOOKUP(Table1[[#This Row],[Item_Platform]],[1]!Table2[#All],5,FALSE),0)</f>
        <v>0</v>
      </c>
      <c r="AK41" s="25">
        <f>SUM(Table1[[#This Row],[yr 2_wl]:[yr 2_pf]])</f>
        <v>0</v>
      </c>
      <c r="AL41" s="25">
        <f>IF(Table1[[#This Row],[Years_Next_Rehab_Well]]=3,VLOOKUP(Table1[[#This Row],[Item_Rehab_WL]],[1]!Table2[#All],6,FALSE),0)</f>
        <v>0</v>
      </c>
      <c r="AM41" s="25">
        <f>IF(Table1[[#This Row],[Adjusted_ULife_HP]]=3,VLOOKUP(Table1[[#This Row],[Item_Handpump]],[1]!Table2[#All],6,FALSE),0)</f>
        <v>0</v>
      </c>
      <c r="AN41" s="25">
        <f>IF(Table1[[#This Row],[Adjusted_ULife_PF]]=3,VLOOKUP(Table1[[#This Row],[Item_Platform]],[1]!Table2[#All],6,FALSE),0)</f>
        <v>0</v>
      </c>
      <c r="AO41" s="25">
        <f>SUM(Table1[[#This Row],[yr 3_wl]:[yr 3_pf]])</f>
        <v>0</v>
      </c>
      <c r="AP41" s="25">
        <f>IF(Table1[[#This Row],[Years_Next_Rehab_Well]]=4,VLOOKUP(Table1[[#This Row],[Item_Rehab_WL]],[1]!Table2[#All],7,FALSE),0)</f>
        <v>0</v>
      </c>
      <c r="AQ41" s="25">
        <f>IF(Table1[[#This Row],[Adjusted_ULife_HP]]=4,VLOOKUP(Table1[[#This Row],[Item_Handpump]],[1]!Table2[#All],7,FALSE),0)</f>
        <v>0</v>
      </c>
      <c r="AR41" s="25">
        <f>IF(Table1[[#This Row],[Adjusted_ULife_PF]]=4,VLOOKUP(Table1[[#This Row],[Item_Platform]],[1]!Table2[#All],7,FALSE),0)</f>
        <v>0</v>
      </c>
      <c r="AS41" s="25">
        <f>SUM(Table1[[#This Row],[yr 4_wl]:[yr 4_pf]])</f>
        <v>0</v>
      </c>
      <c r="AT41" s="25">
        <f>IF(Table1[[#This Row],[Years_Next_Rehab_Well]]=5,VLOOKUP(Table1[[#This Row],[Item_Rehab_WL]],[1]!Table2[#All],8,FALSE),0)</f>
        <v>0</v>
      </c>
      <c r="AU41" s="25">
        <f>IF(Table1[[#This Row],[Adjusted_ULife_HP]]=5,VLOOKUP(Table1[[#This Row],[Item_Handpump]],[1]!Table2[#All],8,FALSE),0)</f>
        <v>0</v>
      </c>
      <c r="AV41" s="25">
        <f>IF(Table1[[#This Row],[Adjusted_ULife_PF]]=5,VLOOKUP(Table1[[#This Row],[Item_Platform]],[1]!Table2[#All],8,FALSE),0)</f>
        <v>0</v>
      </c>
      <c r="AW41" s="25">
        <f>SUM(Table1[[#This Row],[yr 5_wl]:[yr 5_pf]])</f>
        <v>0</v>
      </c>
      <c r="AX41" s="25">
        <f>IF(Table1[[#This Row],[Years_Next_Rehab_Well]]=6,VLOOKUP(Table1[[#This Row],[Item_Rehab_WL]],[1]!Table2[#All],9,FALSE),0)</f>
        <v>0</v>
      </c>
      <c r="AY41" s="25">
        <f>IF(Table1[[#This Row],[Adjusted_ULife_HP]]=6,VLOOKUP(Table1[[#This Row],[Item_Handpump]],[1]!Table2[#All],9,FALSE),0)</f>
        <v>0</v>
      </c>
      <c r="AZ41" s="25">
        <f>IF(Table1[[#This Row],[Adjusted_ULife_PF]]=6,VLOOKUP(Table1[[#This Row],[Item_Platform]],[1]!Table2[#All],9,FALSE),0)</f>
        <v>0</v>
      </c>
      <c r="BA41" s="25">
        <f>SUM(Table1[[#This Row],[yr 6_wl]:[yr 6_pf]])</f>
        <v>0</v>
      </c>
      <c r="BB41" s="25">
        <f>IF(Table1[[#This Row],[Years_Next_Rehab_Well]]=7,VLOOKUP(Table1[[#This Row],[Item_Rehab_WL]],[1]!Table2[#All],10,FALSE),0)</f>
        <v>0</v>
      </c>
      <c r="BC41" s="25">
        <f>IF(Table1[[#This Row],[Adjusted_ULife_HP]]=7,VLOOKUP(Table1[[#This Row],[Item_Handpump]],[1]!Table2[#All],10,FALSE),0)</f>
        <v>0</v>
      </c>
      <c r="BD41" s="25">
        <f>IF(Table1[[#This Row],[Adjusted_ULife_PF]]=7,VLOOKUP(Table1[[#This Row],[Item_Platform]],[1]!Table2[#All],10,FALSE),0)</f>
        <v>3316.0221111091228</v>
      </c>
      <c r="BE41" s="25">
        <f>SUM(Table1[[#This Row],[yr 7_wl]:[yr 7_pf]])</f>
        <v>3316.0221111091228</v>
      </c>
      <c r="BF41" s="25">
        <f>IF(Table1[[#This Row],[Years_Next_Rehab_Well]]=8,VLOOKUP(Table1[[#This Row],[Item_Rehab_WL]],[1]!Table2[#All],11,FALSE),0)</f>
        <v>0</v>
      </c>
      <c r="BG41" s="25">
        <f>IF(Table1[[#This Row],[Adjusted_ULife_HP]]=8,VLOOKUP(Table1[[#This Row],[Item_Handpump]],[1]!Table2[#All],11,FALSE),0)</f>
        <v>0</v>
      </c>
      <c r="BH41" s="25">
        <f>IF(Table1[[#This Row],[Adjusted_ULife_PF]]=8,VLOOKUP(Table1[[#This Row],[Item_Platform]],[1]!Table2[#All],11,FALSE),0)</f>
        <v>0</v>
      </c>
      <c r="BI41" s="25">
        <f>SUM(Table1[[#This Row],[yr 8_wl]:[yr 8_pf]])</f>
        <v>0</v>
      </c>
      <c r="BJ41" s="25">
        <f>IF(Table1[[#This Row],[Years_Next_Rehab_Well]]=9,VLOOKUP(Table1[[#This Row],[Item_Rehab_WL]],[1]!Table2[#All],12,FALSE),0)</f>
        <v>0</v>
      </c>
      <c r="BK41" s="25">
        <f>IF(Table1[[#This Row],[Adjusted_ULife_HP]]=9,VLOOKUP(Table1[[#This Row],[Item_Handpump]],[1]!Table2[#All],12,FALSE),0)</f>
        <v>0</v>
      </c>
      <c r="BL41" s="25">
        <f>IF(Table1[[#This Row],[Adjusted_ULife_PF]]=9,VLOOKUP(Table1[[#This Row],[Item_Platform]],[1]!Table2[#All],12,FALSE),0)</f>
        <v>0</v>
      </c>
      <c r="BM41" s="25">
        <f>SUM(Table1[[#This Row],[yr 9_wl]:[yr 9_pf]])</f>
        <v>0</v>
      </c>
      <c r="BN41" s="25">
        <f>IF(Table1[[#This Row],[Years_Next_Rehab_Well]]=10,VLOOKUP(Table1[[#This Row],[Item_Rehab_WL]],[1]!Table2[#All],13,FALSE),0)</f>
        <v>11388.110097262112</v>
      </c>
      <c r="BO41" s="25">
        <f>IF(Table1[[#This Row],[Adjusted_ULife_HP]]=10,VLOOKUP(Table1[[#This Row],[Item_Handpump]],[1]!Table2[#All],13,FALSE),0)</f>
        <v>0</v>
      </c>
      <c r="BP41" s="25">
        <f>IF(Table1[[#This Row],[Adjusted_ULife_PF]]=10,VLOOKUP(Table1[[#This Row],[Item_Platform]],[1]!Table2[#All],13,FALSE),0)</f>
        <v>0</v>
      </c>
      <c r="BQ41" s="25">
        <f>SUM(Table1[[#This Row],[yr 10_wl]:[yr 10_pf]])</f>
        <v>11388.110097262112</v>
      </c>
      <c r="BR41" s="25">
        <f>IF(Table1[[#This Row],[Years_Next_Rehab_Well]]=11,VLOOKUP(Table1[[#This Row],[Item_Rehab_WL]],[1]!Table2[#All],14,FALSE),0)</f>
        <v>0</v>
      </c>
      <c r="BS41" s="25">
        <f>IF(Table1[[#This Row],[Adjusted_ULife_HP]]=11,VLOOKUP(Table1[[#This Row],[Item_Handpump]],[1]!Table2[#All],14,FALSE),0)</f>
        <v>0</v>
      </c>
      <c r="BT41" s="25">
        <f>IF(Table1[[#This Row],[Adjusted_ULife_PF]]=11,VLOOKUP(Table1[[#This Row],[Item_Platform]],[1]!Table2[#All],14,FALSE),0)</f>
        <v>0</v>
      </c>
      <c r="BU41" s="25">
        <f>SUM(Table1[[#This Row],[yr 11_wl]:[yr 11_pf]])</f>
        <v>0</v>
      </c>
      <c r="BV41" s="25">
        <f>IF(Table1[[#This Row],[Years_Next_Rehab_Well]]=12,VLOOKUP(Table1[[#This Row],[Item_Rehab_WL]],[1]!Table2[#All],15,FALSE),0)</f>
        <v>0</v>
      </c>
      <c r="BW41" s="25">
        <f>IF(Table1[[#This Row],[Adjusted_ULife_HP]]=12,VLOOKUP(Table1[[#This Row],[Item_Handpump]],[1]!Table2[#All],15,FALSE),0)</f>
        <v>0</v>
      </c>
      <c r="BX41" s="25">
        <f>IF(Table1[[#This Row],[Adjusted_ULife_PF]]=12,VLOOKUP(Table1[[#This Row],[Item_Platform]],[1]!Table2[#All],15,FALSE),0)</f>
        <v>0</v>
      </c>
      <c r="BY41" s="25">
        <f>SUM(Table1[[#This Row],[yr 12_wl]:[yr 12_pf]])</f>
        <v>0</v>
      </c>
      <c r="BZ41" s="25">
        <f>IF(Table1[[#This Row],[Years_Next_Rehab_Well]]=13,VLOOKUP(Table1[[#This Row],[Item_Rehab_WL]],[1]!Table2[#All],16,FALSE),0)</f>
        <v>0</v>
      </c>
      <c r="CA41" s="25">
        <f>IF(Table1[[#This Row],[Adjusted_ULife_HP]]=13,VLOOKUP(Table1[[#This Row],[Item_Handpump]],[1]!Table2[#All],16,FALSE),0)</f>
        <v>0</v>
      </c>
      <c r="CB41" s="25">
        <f>IF(Table1[[#This Row],[Adjusted_ULife_PF]]=13,VLOOKUP(Table1[[#This Row],[Item_Platform]],[1]!Table2[#All],16,FALSE),0)</f>
        <v>0</v>
      </c>
      <c r="CC41" s="25">
        <f>SUM(Table1[[#This Row],[yr 13_wl]:[yr 13_pf]])</f>
        <v>0</v>
      </c>
      <c r="CD41" s="12"/>
    </row>
    <row r="42" spans="1:82" s="11" customFormat="1" x14ac:dyDescent="0.25">
      <c r="A42" s="11" t="str">
        <f>IF([1]Input_monitoring_data!A38="","",[1]Input_monitoring_data!A38)</f>
        <v>6nay-yb17-81b0</v>
      </c>
      <c r="B42" s="22" t="str">
        <f>[1]Input_monitoring_data!BH38</f>
        <v>Kenyasi No.2</v>
      </c>
      <c r="C42" s="22" t="str">
        <f>[1]Input_monitoring_data!BI38</f>
        <v>Adum Kenyasi</v>
      </c>
      <c r="D42" s="22" t="str">
        <f>[1]Input_monitoring_data!P38</f>
        <v>6.988191423200228</v>
      </c>
      <c r="E42" s="22" t="str">
        <f>[1]Input_monitoring_data!Q38</f>
        <v>-2.405438928805724</v>
      </c>
      <c r="F42" s="22" t="str">
        <f>[1]Input_monitoring_data!V38</f>
        <v>Nearer To Dj Bafra</v>
      </c>
      <c r="G42" s="23" t="str">
        <f>[1]Input_monitoring_data!U38</f>
        <v>Borehole</v>
      </c>
      <c r="H42" s="22">
        <f>[1]Input_monitoring_data!X38</f>
        <v>2011</v>
      </c>
      <c r="I42" s="21" t="str">
        <f>[1]Input_monitoring_data!AB38</f>
        <v>Borehole redevelopment</v>
      </c>
      <c r="J42" s="21">
        <f>[1]Input_monitoring_data!AC38</f>
        <v>0</v>
      </c>
      <c r="K42" s="23" t="str">
        <f>[1]Input_monitoring_data!W38</f>
        <v>AfriDev</v>
      </c>
      <c r="L42" s="22">
        <f>[1]Input_monitoring_data!X38</f>
        <v>2011</v>
      </c>
      <c r="M42" s="21">
        <f>IF([1]Input_monitoring_data!BL38&gt;'Point Sources_Asset_Register_'!L42,[1]Input_monitoring_data!BL38,"")</f>
        <v>2016</v>
      </c>
      <c r="N42" s="22" t="str">
        <f>[1]Input_monitoring_data!BQ38</f>
        <v>functional</v>
      </c>
      <c r="O42" s="22">
        <f>[1]Input_monitoring_data!AJ38</f>
        <v>0</v>
      </c>
      <c r="P42" s="23" t="s">
        <v>0</v>
      </c>
      <c r="Q42" s="22">
        <f>L42</f>
        <v>2011</v>
      </c>
      <c r="R42" s="21">
        <f>M42</f>
        <v>2016</v>
      </c>
      <c r="S42" s="20">
        <f>[1]Input_EUL_CRC_ERC!$B$17-Table1[[#This Row],[Year Installed_WL]]</f>
        <v>6</v>
      </c>
      <c r="T42" s="20">
        <f>[1]Input_EUL_CRC_ERC!$B$17-(IF(Table1[[#This Row],[Year Last_Rehab_WL ]]=0,Table1[[#This Row],[Year Installed_WL]],[1]Input_EUL_CRC_ERC!$B$17-Table1[[#This Row],[Year Last_Rehab_WL ]]))</f>
        <v>6</v>
      </c>
      <c r="U42" s="20">
        <f>(VLOOKUP(Table1[[#This Row],[Item_Rehab_WL]],[1]Input_EUL_CRC_ERC!$C$17:$E$27,2,FALSE)-Table1[[#This Row],[Last Rehab Age]])</f>
        <v>9</v>
      </c>
      <c r="V42" s="19">
        <f>[1]Input_EUL_CRC_ERC!$B$17-Table1[[#This Row],[Year Installed_HP]]</f>
        <v>6</v>
      </c>
      <c r="W42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42" s="19">
        <f>[1]Input_EUL_CRC_ERC!$B$17-Table1[[#This Row],[Year Installed_PF]]</f>
        <v>6</v>
      </c>
      <c r="Y42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42" s="25">
        <f>IF(Table1[[#This Row],[Years_Next_Rehab_Well]]&lt;=0,VLOOKUP(Table1[[#This Row],[Item_Rehab_WL]],[1]!Table2[#All],3,FALSE),0)</f>
        <v>0</v>
      </c>
      <c r="AA42" s="18">
        <f>IF(Table1[[#This Row],[Adjusted_ULife_HP]]&lt;=0,VLOOKUP(Table1[[#This Row],[Item_Handpump]],[1]!Table2[#All],3,FALSE),0)</f>
        <v>0</v>
      </c>
      <c r="AB42" s="18">
        <f>IF(Table1[[#This Row],[Adjusted_ULife_PF]]&lt;=0,VLOOKUP(Table1[[#This Row],[Item_Platform]],[1]!Table2[#All],3,FALSE),0)</f>
        <v>0</v>
      </c>
      <c r="AC42" s="18">
        <f>SUM(Table1[[#This Row],[current yr_wl]:[current yr_pf]])</f>
        <v>0</v>
      </c>
      <c r="AD42" s="25">
        <f>IF(Table1[[#This Row],[Years_Next_Rehab_Well]]=1,VLOOKUP(Table1[[#This Row],[Item_Rehab_WL]],[1]!Table2[#All],4,FALSE),0)</f>
        <v>0</v>
      </c>
      <c r="AE42" s="25">
        <f>IF(Table1[[#This Row],[Adjusted_ULife_HP]]=1,VLOOKUP(Table1[[#This Row],[Item_Handpump]],[1]!Table2[#All],4,FALSE),0)</f>
        <v>0</v>
      </c>
      <c r="AF42" s="25">
        <f>IF(Table1[[#This Row],[Adjusted_ULife_PF]]=1,VLOOKUP(Table1[[#This Row],[Item_Platform]],[1]!Table2[#All],4,FALSE),0)</f>
        <v>0</v>
      </c>
      <c r="AG42" s="25">
        <f>SUM(Table1[[#This Row],[yr 1_wl]:[yr 1_pf]])</f>
        <v>0</v>
      </c>
      <c r="AH42" s="25">
        <f>IF(Table1[[#This Row],[Years_Next_Rehab_Well]]=2,VLOOKUP(Table1[[#This Row],[Item_Rehab_WL]],[1]!Table2[#All],5,FALSE),0)</f>
        <v>0</v>
      </c>
      <c r="AI42" s="25">
        <f>IF(Table1[[#This Row],[Adjusted_ULife_HP]]=2,VLOOKUP(Table1[[#This Row],[Item_Handpump]],[1]!Table2[#All],5,FALSE),0)</f>
        <v>0</v>
      </c>
      <c r="AJ42" s="25">
        <f>IF(Table1[[#This Row],[Adjusted_ULife_PF]]=2,VLOOKUP(Table1[[#This Row],[Item_Platform]],[1]!Table2[#All],5,FALSE),0)</f>
        <v>0</v>
      </c>
      <c r="AK42" s="25">
        <f>SUM(Table1[[#This Row],[yr 2_wl]:[yr 2_pf]])</f>
        <v>0</v>
      </c>
      <c r="AL42" s="25">
        <f>IF(Table1[[#This Row],[Years_Next_Rehab_Well]]=3,VLOOKUP(Table1[[#This Row],[Item_Rehab_WL]],[1]!Table2[#All],6,FALSE),0)</f>
        <v>0</v>
      </c>
      <c r="AM42" s="25">
        <f>IF(Table1[[#This Row],[Adjusted_ULife_HP]]=3,VLOOKUP(Table1[[#This Row],[Item_Handpump]],[1]!Table2[#All],6,FALSE),0)</f>
        <v>0</v>
      </c>
      <c r="AN42" s="25">
        <f>IF(Table1[[#This Row],[Adjusted_ULife_PF]]=3,VLOOKUP(Table1[[#This Row],[Item_Platform]],[1]!Table2[#All],6,FALSE),0)</f>
        <v>0</v>
      </c>
      <c r="AO42" s="25">
        <f>SUM(Table1[[#This Row],[yr 3_wl]:[yr 3_pf]])</f>
        <v>0</v>
      </c>
      <c r="AP42" s="25">
        <f>IF(Table1[[#This Row],[Years_Next_Rehab_Well]]=4,VLOOKUP(Table1[[#This Row],[Item_Rehab_WL]],[1]!Table2[#All],7,FALSE),0)</f>
        <v>0</v>
      </c>
      <c r="AQ42" s="25">
        <f>IF(Table1[[#This Row],[Adjusted_ULife_HP]]=4,VLOOKUP(Table1[[#This Row],[Item_Handpump]],[1]!Table2[#All],7,FALSE),0)</f>
        <v>0</v>
      </c>
      <c r="AR42" s="25">
        <f>IF(Table1[[#This Row],[Adjusted_ULife_PF]]=4,VLOOKUP(Table1[[#This Row],[Item_Platform]],[1]!Table2[#All],7,FALSE),0)</f>
        <v>0</v>
      </c>
      <c r="AS42" s="25">
        <f>SUM(Table1[[#This Row],[yr 4_wl]:[yr 4_pf]])</f>
        <v>0</v>
      </c>
      <c r="AT42" s="25">
        <f>IF(Table1[[#This Row],[Years_Next_Rehab_Well]]=5,VLOOKUP(Table1[[#This Row],[Item_Rehab_WL]],[1]!Table2[#All],8,FALSE),0)</f>
        <v>0</v>
      </c>
      <c r="AU42" s="25">
        <f>IF(Table1[[#This Row],[Adjusted_ULife_HP]]=5,VLOOKUP(Table1[[#This Row],[Item_Handpump]],[1]!Table2[#All],8,FALSE),0)</f>
        <v>0</v>
      </c>
      <c r="AV42" s="25">
        <f>IF(Table1[[#This Row],[Adjusted_ULife_PF]]=5,VLOOKUP(Table1[[#This Row],[Item_Platform]],[1]!Table2[#All],8,FALSE),0)</f>
        <v>0</v>
      </c>
      <c r="AW42" s="25">
        <f>SUM(Table1[[#This Row],[yr 5_wl]:[yr 5_pf]])</f>
        <v>0</v>
      </c>
      <c r="AX42" s="25">
        <f>IF(Table1[[#This Row],[Years_Next_Rehab_Well]]=6,VLOOKUP(Table1[[#This Row],[Item_Rehab_WL]],[1]!Table2[#All],9,FALSE),0)</f>
        <v>0</v>
      </c>
      <c r="AY42" s="25">
        <f>IF(Table1[[#This Row],[Adjusted_ULife_HP]]=6,VLOOKUP(Table1[[#This Row],[Item_Handpump]],[1]!Table2[#All],9,FALSE),0)</f>
        <v>0</v>
      </c>
      <c r="AZ42" s="25">
        <f>IF(Table1[[#This Row],[Adjusted_ULife_PF]]=6,VLOOKUP(Table1[[#This Row],[Item_Platform]],[1]!Table2[#All],9,FALSE),0)</f>
        <v>0</v>
      </c>
      <c r="BA42" s="25">
        <f>SUM(Table1[[#This Row],[yr 6_wl]:[yr 6_pf]])</f>
        <v>0</v>
      </c>
      <c r="BB42" s="25">
        <f>IF(Table1[[#This Row],[Years_Next_Rehab_Well]]=7,VLOOKUP(Table1[[#This Row],[Item_Rehab_WL]],[1]!Table2[#All],10,FALSE),0)</f>
        <v>0</v>
      </c>
      <c r="BC42" s="25">
        <f>IF(Table1[[#This Row],[Adjusted_ULife_HP]]=7,VLOOKUP(Table1[[#This Row],[Item_Handpump]],[1]!Table2[#All],10,FALSE),0)</f>
        <v>0</v>
      </c>
      <c r="BD42" s="25">
        <f>IF(Table1[[#This Row],[Adjusted_ULife_PF]]=7,VLOOKUP(Table1[[#This Row],[Item_Platform]],[1]!Table2[#All],10,FALSE),0)</f>
        <v>0</v>
      </c>
      <c r="BE42" s="25">
        <f>SUM(Table1[[#This Row],[yr 7_wl]:[yr 7_pf]])</f>
        <v>0</v>
      </c>
      <c r="BF42" s="25">
        <f>IF(Table1[[#This Row],[Years_Next_Rehab_Well]]=8,VLOOKUP(Table1[[#This Row],[Item_Rehab_WL]],[1]!Table2[#All],11,FALSE),0)</f>
        <v>0</v>
      </c>
      <c r="BG42" s="25">
        <f>IF(Table1[[#This Row],[Adjusted_ULife_HP]]=8,VLOOKUP(Table1[[#This Row],[Item_Handpump]],[1]!Table2[#All],11,FALSE),0)</f>
        <v>0</v>
      </c>
      <c r="BH42" s="25">
        <f>IF(Table1[[#This Row],[Adjusted_ULife_PF]]=8,VLOOKUP(Table1[[#This Row],[Item_Platform]],[1]!Table2[#All],11,FALSE),0)</f>
        <v>0</v>
      </c>
      <c r="BI42" s="25">
        <f>SUM(Table1[[#This Row],[yr 8_wl]:[yr 8_pf]])</f>
        <v>0</v>
      </c>
      <c r="BJ42" s="25">
        <f>IF(Table1[[#This Row],[Years_Next_Rehab_Well]]=9,VLOOKUP(Table1[[#This Row],[Item_Rehab_WL]],[1]!Table2[#All],12,FALSE),0)</f>
        <v>10167.955443984027</v>
      </c>
      <c r="BK42" s="25">
        <f>IF(Table1[[#This Row],[Adjusted_ULife_HP]]=9,VLOOKUP(Table1[[#This Row],[Item_Handpump]],[1]!Table2[#All],12,FALSE),0)</f>
        <v>0</v>
      </c>
      <c r="BL42" s="25">
        <f>IF(Table1[[#This Row],[Adjusted_ULife_PF]]=9,VLOOKUP(Table1[[#This Row],[Item_Platform]],[1]!Table2[#All],12,FALSE),0)</f>
        <v>4159.6181361752842</v>
      </c>
      <c r="BM42" s="25">
        <f>SUM(Table1[[#This Row],[yr 9_wl]:[yr 9_pf]])</f>
        <v>14327.573580159311</v>
      </c>
      <c r="BN42" s="25">
        <f>IF(Table1[[#This Row],[Years_Next_Rehab_Well]]=10,VLOOKUP(Table1[[#This Row],[Item_Rehab_WL]],[1]!Table2[#All],13,FALSE),0)</f>
        <v>0</v>
      </c>
      <c r="BO42" s="25">
        <f>IF(Table1[[#This Row],[Adjusted_ULife_HP]]=10,VLOOKUP(Table1[[#This Row],[Item_Handpump]],[1]!Table2[#All],13,FALSE),0)</f>
        <v>0</v>
      </c>
      <c r="BP42" s="25">
        <f>IF(Table1[[#This Row],[Adjusted_ULife_PF]]=10,VLOOKUP(Table1[[#This Row],[Item_Platform]],[1]!Table2[#All],13,FALSE),0)</f>
        <v>0</v>
      </c>
      <c r="BQ42" s="25">
        <f>SUM(Table1[[#This Row],[yr 10_wl]:[yr 10_pf]])</f>
        <v>0</v>
      </c>
      <c r="BR42" s="25">
        <f>IF(Table1[[#This Row],[Years_Next_Rehab_Well]]=11,VLOOKUP(Table1[[#This Row],[Item_Rehab_WL]],[1]!Table2[#All],14,FALSE),0)</f>
        <v>0</v>
      </c>
      <c r="BS42" s="25">
        <f>IF(Table1[[#This Row],[Adjusted_ULife_HP]]=11,VLOOKUP(Table1[[#This Row],[Item_Handpump]],[1]!Table2[#All],14,FALSE),0)</f>
        <v>0</v>
      </c>
      <c r="BT42" s="25">
        <f>IF(Table1[[#This Row],[Adjusted_ULife_PF]]=11,VLOOKUP(Table1[[#This Row],[Item_Platform]],[1]!Table2[#All],14,FALSE),0)</f>
        <v>0</v>
      </c>
      <c r="BU42" s="25">
        <f>SUM(Table1[[#This Row],[yr 11_wl]:[yr 11_pf]])</f>
        <v>0</v>
      </c>
      <c r="BV42" s="25">
        <f>IF(Table1[[#This Row],[Years_Next_Rehab_Well]]=12,VLOOKUP(Table1[[#This Row],[Item_Rehab_WL]],[1]!Table2[#All],15,FALSE),0)</f>
        <v>0</v>
      </c>
      <c r="BW42" s="25">
        <f>IF(Table1[[#This Row],[Adjusted_ULife_HP]]=12,VLOOKUP(Table1[[#This Row],[Item_Handpump]],[1]!Table2[#All],15,FALSE),0)</f>
        <v>0</v>
      </c>
      <c r="BX42" s="25">
        <f>IF(Table1[[#This Row],[Adjusted_ULife_PF]]=12,VLOOKUP(Table1[[#This Row],[Item_Platform]],[1]!Table2[#All],15,FALSE),0)</f>
        <v>0</v>
      </c>
      <c r="BY42" s="25">
        <f>SUM(Table1[[#This Row],[yr 12_wl]:[yr 12_pf]])</f>
        <v>0</v>
      </c>
      <c r="BZ42" s="25">
        <f>IF(Table1[[#This Row],[Years_Next_Rehab_Well]]=13,VLOOKUP(Table1[[#This Row],[Item_Rehab_WL]],[1]!Table2[#All],16,FALSE),0)</f>
        <v>0</v>
      </c>
      <c r="CA42" s="25">
        <f>IF(Table1[[#This Row],[Adjusted_ULife_HP]]=13,VLOOKUP(Table1[[#This Row],[Item_Handpump]],[1]!Table2[#All],16,FALSE),0)</f>
        <v>0</v>
      </c>
      <c r="CB42" s="25">
        <f>IF(Table1[[#This Row],[Adjusted_ULife_PF]]=13,VLOOKUP(Table1[[#This Row],[Item_Platform]],[1]!Table2[#All],16,FALSE),0)</f>
        <v>0</v>
      </c>
      <c r="CC42" s="25">
        <f>SUM(Table1[[#This Row],[yr 13_wl]:[yr 13_pf]])</f>
        <v>0</v>
      </c>
      <c r="CD42" s="12"/>
    </row>
    <row r="43" spans="1:82" s="11" customFormat="1" x14ac:dyDescent="0.25">
      <c r="A43" s="11" t="str">
        <f>IF([1]Input_monitoring_data!A39="","",[1]Input_monitoring_data!A39)</f>
        <v>6s20-tnm8-b0ww</v>
      </c>
      <c r="B43" s="22" t="str">
        <f>[1]Input_monitoring_data!BH39</f>
        <v>KENYASI NO.2</v>
      </c>
      <c r="C43" s="22" t="str">
        <f>[1]Input_monitoring_data!BI39</f>
        <v>OLA RESETTLEMENT</v>
      </c>
      <c r="D43" s="22" t="str">
        <f>[1]Input_monitoring_data!P39</f>
        <v>6.989795525430245</v>
      </c>
      <c r="E43" s="22" t="str">
        <f>[1]Input_monitoring_data!Q39</f>
        <v>-2.408854450012102</v>
      </c>
      <c r="F43" s="22" t="str">
        <f>[1]Input_monitoring_data!V39</f>
        <v>near Annang Thompson's house</v>
      </c>
      <c r="G43" s="23" t="str">
        <f>[1]Input_monitoring_data!U39</f>
        <v>Borehole</v>
      </c>
      <c r="H43" s="22">
        <f>[1]Input_monitoring_data!X39</f>
        <v>2016</v>
      </c>
      <c r="I43" s="21" t="str">
        <f>[1]Input_monitoring_data!AB39</f>
        <v>Borehole redevelopment</v>
      </c>
      <c r="J43" s="21">
        <f>[1]Input_monitoring_data!AC39</f>
        <v>0</v>
      </c>
      <c r="K43" s="23" t="str">
        <f>[1]Input_monitoring_data!W39</f>
        <v>AfriDev</v>
      </c>
      <c r="L43" s="22">
        <f>[1]Input_monitoring_data!X39</f>
        <v>2016</v>
      </c>
      <c r="M43" s="21" t="str">
        <f>IF([1]Input_monitoring_data!BL39&gt;'Point Sources_Asset_Register_'!L43,[1]Input_monitoring_data!BL39,"")</f>
        <v/>
      </c>
      <c r="N43" s="22" t="str">
        <f>[1]Input_monitoring_data!BQ39</f>
        <v>functional</v>
      </c>
      <c r="O43" s="22">
        <f>[1]Input_monitoring_data!AJ39</f>
        <v>0</v>
      </c>
      <c r="P43" s="23" t="s">
        <v>0</v>
      </c>
      <c r="Q43" s="22">
        <f>L43</f>
        <v>2016</v>
      </c>
      <c r="R43" s="21" t="str">
        <f>M43</f>
        <v/>
      </c>
      <c r="S43" s="20">
        <f>[1]Input_EUL_CRC_ERC!$B$17-Table1[[#This Row],[Year Installed_WL]]</f>
        <v>1</v>
      </c>
      <c r="T43" s="20">
        <f>[1]Input_EUL_CRC_ERC!$B$17-(IF(Table1[[#This Row],[Year Last_Rehab_WL ]]=0,Table1[[#This Row],[Year Installed_WL]],[1]Input_EUL_CRC_ERC!$B$17-Table1[[#This Row],[Year Last_Rehab_WL ]]))</f>
        <v>1</v>
      </c>
      <c r="U43" s="20">
        <f>(VLOOKUP(Table1[[#This Row],[Item_Rehab_WL]],[1]Input_EUL_CRC_ERC!$C$17:$E$27,2,FALSE)-Table1[[#This Row],[Last Rehab Age]])</f>
        <v>14</v>
      </c>
      <c r="V43" s="19">
        <f>[1]Input_EUL_CRC_ERC!$B$17-Table1[[#This Row],[Year Installed_HP]]</f>
        <v>1</v>
      </c>
      <c r="W43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43" s="19">
        <f>[1]Input_EUL_CRC_ERC!$B$17-Table1[[#This Row],[Year Installed_PF]]</f>
        <v>1</v>
      </c>
      <c r="Y43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43" s="25">
        <f>IF(Table1[[#This Row],[Years_Next_Rehab_Well]]&lt;=0,VLOOKUP(Table1[[#This Row],[Item_Rehab_WL]],[1]!Table2[#All],3,FALSE),0)</f>
        <v>0</v>
      </c>
      <c r="AA43" s="18">
        <f>IF(Table1[[#This Row],[Adjusted_ULife_HP]]&lt;=0,VLOOKUP(Table1[[#This Row],[Item_Handpump]],[1]!Table2[#All],3,FALSE),0)</f>
        <v>0</v>
      </c>
      <c r="AB43" s="18">
        <f>IF(Table1[[#This Row],[Adjusted_ULife_PF]]&lt;=0,VLOOKUP(Table1[[#This Row],[Item_Platform]],[1]!Table2[#All],3,FALSE),0)</f>
        <v>0</v>
      </c>
      <c r="AC43" s="18">
        <f>SUM(Table1[[#This Row],[current yr_wl]:[current yr_pf]])</f>
        <v>0</v>
      </c>
      <c r="AD43" s="25">
        <f>IF(Table1[[#This Row],[Years_Next_Rehab_Well]]=1,VLOOKUP(Table1[[#This Row],[Item_Rehab_WL]],[1]!Table2[#All],4,FALSE),0)</f>
        <v>0</v>
      </c>
      <c r="AE43" s="25">
        <f>IF(Table1[[#This Row],[Adjusted_ULife_HP]]=1,VLOOKUP(Table1[[#This Row],[Item_Handpump]],[1]!Table2[#All],4,FALSE),0)</f>
        <v>0</v>
      </c>
      <c r="AF43" s="25">
        <f>IF(Table1[[#This Row],[Adjusted_ULife_PF]]=1,VLOOKUP(Table1[[#This Row],[Item_Platform]],[1]!Table2[#All],4,FALSE),0)</f>
        <v>0</v>
      </c>
      <c r="AG43" s="25">
        <f>SUM(Table1[[#This Row],[yr 1_wl]:[yr 1_pf]])</f>
        <v>0</v>
      </c>
      <c r="AH43" s="25">
        <f>IF(Table1[[#This Row],[Years_Next_Rehab_Well]]=2,VLOOKUP(Table1[[#This Row],[Item_Rehab_WL]],[1]!Table2[#All],5,FALSE),0)</f>
        <v>0</v>
      </c>
      <c r="AI43" s="25">
        <f>IF(Table1[[#This Row],[Adjusted_ULife_HP]]=2,VLOOKUP(Table1[[#This Row],[Item_Handpump]],[1]!Table2[#All],5,FALSE),0)</f>
        <v>0</v>
      </c>
      <c r="AJ43" s="25">
        <f>IF(Table1[[#This Row],[Adjusted_ULife_PF]]=2,VLOOKUP(Table1[[#This Row],[Item_Platform]],[1]!Table2[#All],5,FALSE),0)</f>
        <v>0</v>
      </c>
      <c r="AK43" s="25">
        <f>SUM(Table1[[#This Row],[yr 2_wl]:[yr 2_pf]])</f>
        <v>0</v>
      </c>
      <c r="AL43" s="25">
        <f>IF(Table1[[#This Row],[Years_Next_Rehab_Well]]=3,VLOOKUP(Table1[[#This Row],[Item_Rehab_WL]],[1]!Table2[#All],6,FALSE),0)</f>
        <v>0</v>
      </c>
      <c r="AM43" s="25">
        <f>IF(Table1[[#This Row],[Adjusted_ULife_HP]]=3,VLOOKUP(Table1[[#This Row],[Item_Handpump]],[1]!Table2[#All],6,FALSE),0)</f>
        <v>0</v>
      </c>
      <c r="AN43" s="25">
        <f>IF(Table1[[#This Row],[Adjusted_ULife_PF]]=3,VLOOKUP(Table1[[#This Row],[Item_Platform]],[1]!Table2[#All],6,FALSE),0)</f>
        <v>0</v>
      </c>
      <c r="AO43" s="25">
        <f>SUM(Table1[[#This Row],[yr 3_wl]:[yr 3_pf]])</f>
        <v>0</v>
      </c>
      <c r="AP43" s="25">
        <f>IF(Table1[[#This Row],[Years_Next_Rehab_Well]]=4,VLOOKUP(Table1[[#This Row],[Item_Rehab_WL]],[1]!Table2[#All],7,FALSE),0)</f>
        <v>0</v>
      </c>
      <c r="AQ43" s="25">
        <f>IF(Table1[[#This Row],[Adjusted_ULife_HP]]=4,VLOOKUP(Table1[[#This Row],[Item_Handpump]],[1]!Table2[#All],7,FALSE),0)</f>
        <v>0</v>
      </c>
      <c r="AR43" s="25">
        <f>IF(Table1[[#This Row],[Adjusted_ULife_PF]]=4,VLOOKUP(Table1[[#This Row],[Item_Platform]],[1]!Table2[#All],7,FALSE),0)</f>
        <v>0</v>
      </c>
      <c r="AS43" s="25">
        <f>SUM(Table1[[#This Row],[yr 4_wl]:[yr 4_pf]])</f>
        <v>0</v>
      </c>
      <c r="AT43" s="25">
        <f>IF(Table1[[#This Row],[Years_Next_Rehab_Well]]=5,VLOOKUP(Table1[[#This Row],[Item_Rehab_WL]],[1]!Table2[#All],8,FALSE),0)</f>
        <v>0</v>
      </c>
      <c r="AU43" s="25">
        <f>IF(Table1[[#This Row],[Adjusted_ULife_HP]]=5,VLOOKUP(Table1[[#This Row],[Item_Handpump]],[1]!Table2[#All],8,FALSE),0)</f>
        <v>0</v>
      </c>
      <c r="AV43" s="25">
        <f>IF(Table1[[#This Row],[Adjusted_ULife_PF]]=5,VLOOKUP(Table1[[#This Row],[Item_Platform]],[1]!Table2[#All],8,FALSE),0)</f>
        <v>0</v>
      </c>
      <c r="AW43" s="25">
        <f>SUM(Table1[[#This Row],[yr 5_wl]:[yr 5_pf]])</f>
        <v>0</v>
      </c>
      <c r="AX43" s="25">
        <f>IF(Table1[[#This Row],[Years_Next_Rehab_Well]]=6,VLOOKUP(Table1[[#This Row],[Item_Rehab_WL]],[1]!Table2[#All],9,FALSE),0)</f>
        <v>0</v>
      </c>
      <c r="AY43" s="25">
        <f>IF(Table1[[#This Row],[Adjusted_ULife_HP]]=6,VLOOKUP(Table1[[#This Row],[Item_Handpump]],[1]!Table2[#All],9,FALSE),0)</f>
        <v>0</v>
      </c>
      <c r="AZ43" s="25">
        <f>IF(Table1[[#This Row],[Adjusted_ULife_PF]]=6,VLOOKUP(Table1[[#This Row],[Item_Platform]],[1]!Table2[#All],9,FALSE),0)</f>
        <v>0</v>
      </c>
      <c r="BA43" s="25">
        <f>SUM(Table1[[#This Row],[yr 6_wl]:[yr 6_pf]])</f>
        <v>0</v>
      </c>
      <c r="BB43" s="25">
        <f>IF(Table1[[#This Row],[Years_Next_Rehab_Well]]=7,VLOOKUP(Table1[[#This Row],[Item_Rehab_WL]],[1]!Table2[#All],10,FALSE),0)</f>
        <v>0</v>
      </c>
      <c r="BC43" s="25">
        <f>IF(Table1[[#This Row],[Adjusted_ULife_HP]]=7,VLOOKUP(Table1[[#This Row],[Item_Handpump]],[1]!Table2[#All],10,FALSE),0)</f>
        <v>0</v>
      </c>
      <c r="BD43" s="25">
        <f>IF(Table1[[#This Row],[Adjusted_ULife_PF]]=7,VLOOKUP(Table1[[#This Row],[Item_Platform]],[1]!Table2[#All],10,FALSE),0)</f>
        <v>0</v>
      </c>
      <c r="BE43" s="25">
        <f>SUM(Table1[[#This Row],[yr 7_wl]:[yr 7_pf]])</f>
        <v>0</v>
      </c>
      <c r="BF43" s="25">
        <f>IF(Table1[[#This Row],[Years_Next_Rehab_Well]]=8,VLOOKUP(Table1[[#This Row],[Item_Rehab_WL]],[1]!Table2[#All],11,FALSE),0)</f>
        <v>0</v>
      </c>
      <c r="BG43" s="25">
        <f>IF(Table1[[#This Row],[Adjusted_ULife_HP]]=8,VLOOKUP(Table1[[#This Row],[Item_Handpump]],[1]!Table2[#All],11,FALSE),0)</f>
        <v>0</v>
      </c>
      <c r="BH43" s="25">
        <f>IF(Table1[[#This Row],[Adjusted_ULife_PF]]=8,VLOOKUP(Table1[[#This Row],[Item_Platform]],[1]!Table2[#All],11,FALSE),0)</f>
        <v>0</v>
      </c>
      <c r="BI43" s="25">
        <f>SUM(Table1[[#This Row],[yr 8_wl]:[yr 8_pf]])</f>
        <v>0</v>
      </c>
      <c r="BJ43" s="25">
        <f>IF(Table1[[#This Row],[Years_Next_Rehab_Well]]=9,VLOOKUP(Table1[[#This Row],[Item_Rehab_WL]],[1]!Table2[#All],12,FALSE),0)</f>
        <v>0</v>
      </c>
      <c r="BK43" s="25">
        <f>IF(Table1[[#This Row],[Adjusted_ULife_HP]]=9,VLOOKUP(Table1[[#This Row],[Item_Handpump]],[1]!Table2[#All],12,FALSE),0)</f>
        <v>0</v>
      </c>
      <c r="BL43" s="25">
        <f>IF(Table1[[#This Row],[Adjusted_ULife_PF]]=9,VLOOKUP(Table1[[#This Row],[Item_Platform]],[1]!Table2[#All],12,FALSE),0)</f>
        <v>4159.6181361752842</v>
      </c>
      <c r="BM43" s="25">
        <f>SUM(Table1[[#This Row],[yr 9_wl]:[yr 9_pf]])</f>
        <v>4159.6181361752842</v>
      </c>
      <c r="BN43" s="25">
        <f>IF(Table1[[#This Row],[Years_Next_Rehab_Well]]=10,VLOOKUP(Table1[[#This Row],[Item_Rehab_WL]],[1]!Table2[#All],13,FALSE),0)</f>
        <v>0</v>
      </c>
      <c r="BO43" s="25">
        <f>IF(Table1[[#This Row],[Adjusted_ULife_HP]]=10,VLOOKUP(Table1[[#This Row],[Item_Handpump]],[1]!Table2[#All],13,FALSE),0)</f>
        <v>0</v>
      </c>
      <c r="BP43" s="25">
        <f>IF(Table1[[#This Row],[Adjusted_ULife_PF]]=10,VLOOKUP(Table1[[#This Row],[Item_Platform]],[1]!Table2[#All],13,FALSE),0)</f>
        <v>0</v>
      </c>
      <c r="BQ43" s="25">
        <f>SUM(Table1[[#This Row],[yr 10_wl]:[yr 10_pf]])</f>
        <v>0</v>
      </c>
      <c r="BR43" s="25">
        <f>IF(Table1[[#This Row],[Years_Next_Rehab_Well]]=11,VLOOKUP(Table1[[#This Row],[Item_Rehab_WL]],[1]!Table2[#All],14,FALSE),0)</f>
        <v>0</v>
      </c>
      <c r="BS43" s="25">
        <f>IF(Table1[[#This Row],[Adjusted_ULife_HP]]=11,VLOOKUP(Table1[[#This Row],[Item_Handpump]],[1]!Table2[#All],14,FALSE),0)</f>
        <v>0</v>
      </c>
      <c r="BT43" s="25">
        <f>IF(Table1[[#This Row],[Adjusted_ULife_PF]]=11,VLOOKUP(Table1[[#This Row],[Item_Platform]],[1]!Table2[#All],14,FALSE),0)</f>
        <v>0</v>
      </c>
      <c r="BU43" s="25">
        <f>SUM(Table1[[#This Row],[yr 11_wl]:[yr 11_pf]])</f>
        <v>0</v>
      </c>
      <c r="BV43" s="25">
        <f>IF(Table1[[#This Row],[Years_Next_Rehab_Well]]=12,VLOOKUP(Table1[[#This Row],[Item_Rehab_WL]],[1]!Table2[#All],15,FALSE),0)</f>
        <v>0</v>
      </c>
      <c r="BW43" s="25">
        <f>IF(Table1[[#This Row],[Adjusted_ULife_HP]]=12,VLOOKUP(Table1[[#This Row],[Item_Handpump]],[1]!Table2[#All],15,FALSE),0)</f>
        <v>0</v>
      </c>
      <c r="BX43" s="25">
        <f>IF(Table1[[#This Row],[Adjusted_ULife_PF]]=12,VLOOKUP(Table1[[#This Row],[Item_Platform]],[1]!Table2[#All],15,FALSE),0)</f>
        <v>0</v>
      </c>
      <c r="BY43" s="25">
        <f>SUM(Table1[[#This Row],[yr 12_wl]:[yr 12_pf]])</f>
        <v>0</v>
      </c>
      <c r="BZ43" s="25">
        <f>IF(Table1[[#This Row],[Years_Next_Rehab_Well]]=13,VLOOKUP(Table1[[#This Row],[Item_Rehab_WL]],[1]!Table2[#All],16,FALSE),0)</f>
        <v>0</v>
      </c>
      <c r="CA43" s="25">
        <f>IF(Table1[[#This Row],[Adjusted_ULife_HP]]=13,VLOOKUP(Table1[[#This Row],[Item_Handpump]],[1]!Table2[#All],16,FALSE),0)</f>
        <v>0</v>
      </c>
      <c r="CB43" s="25">
        <f>IF(Table1[[#This Row],[Adjusted_ULife_PF]]=13,VLOOKUP(Table1[[#This Row],[Item_Platform]],[1]!Table2[#All],16,FALSE),0)</f>
        <v>0</v>
      </c>
      <c r="CC43" s="25">
        <f>SUM(Table1[[#This Row],[yr 13_wl]:[yr 13_pf]])</f>
        <v>0</v>
      </c>
      <c r="CD43" s="12"/>
    </row>
    <row r="44" spans="1:82" s="11" customFormat="1" x14ac:dyDescent="0.25">
      <c r="A44" s="11" t="str">
        <f>IF([1]Input_monitoring_data!A40="","",[1]Input_monitoring_data!A40)</f>
        <v>6wrk-b5ea-jhn9</v>
      </c>
      <c r="B44" s="22" t="str">
        <f>[1]Input_monitoring_data!BH40</f>
        <v>Gambia</v>
      </c>
      <c r="C44" s="22" t="str">
        <f>[1]Input_monitoring_data!BI40</f>
        <v>Gambia No.1</v>
      </c>
      <c r="D44" s="22" t="str">
        <f>[1]Input_monitoring_data!P40</f>
        <v>7.038491026959871</v>
      </c>
      <c r="E44" s="22" t="str">
        <f>[1]Input_monitoring_data!Q40</f>
        <v>-2.6379839421177214</v>
      </c>
      <c r="F44" s="22" t="str">
        <f>[1]Input_monitoring_data!V40</f>
        <v>Near Kyremantins House</v>
      </c>
      <c r="G44" s="23" t="str">
        <f>[1]Input_monitoring_data!U40</f>
        <v>Borehole</v>
      </c>
      <c r="H44" s="22">
        <f>[1]Input_monitoring_data!X40</f>
        <v>2008</v>
      </c>
      <c r="I44" s="21" t="str">
        <f>[1]Input_monitoring_data!AB40</f>
        <v>Borehole redevelopment</v>
      </c>
      <c r="J44" s="21">
        <f>[1]Input_monitoring_data!AC40</f>
        <v>0</v>
      </c>
      <c r="K44" s="23" t="str">
        <f>[1]Input_monitoring_data!W40</f>
        <v>AfriDev</v>
      </c>
      <c r="L44" s="22">
        <f>[1]Input_monitoring_data!X40</f>
        <v>2008</v>
      </c>
      <c r="M44" s="21">
        <f>IF([1]Input_monitoring_data!BL40&gt;'Point Sources_Asset_Register_'!L44,[1]Input_monitoring_data!BL40,"")</f>
        <v>2013</v>
      </c>
      <c r="N44" s="22" t="str">
        <f>[1]Input_monitoring_data!BQ40</f>
        <v>functional</v>
      </c>
      <c r="O44" s="22" t="str">
        <f>[1]Input_monitoring_data!AJ40</f>
        <v>facility under repair</v>
      </c>
      <c r="P44" s="23" t="s">
        <v>0</v>
      </c>
      <c r="Q44" s="22">
        <f>L44</f>
        <v>2008</v>
      </c>
      <c r="R44" s="21">
        <f>M44</f>
        <v>2013</v>
      </c>
      <c r="S44" s="20">
        <f>[1]Input_EUL_CRC_ERC!$B$17-Table1[[#This Row],[Year Installed_WL]]</f>
        <v>9</v>
      </c>
      <c r="T44" s="20">
        <f>[1]Input_EUL_CRC_ERC!$B$17-(IF(Table1[[#This Row],[Year Last_Rehab_WL ]]=0,Table1[[#This Row],[Year Installed_WL]],[1]Input_EUL_CRC_ERC!$B$17-Table1[[#This Row],[Year Last_Rehab_WL ]]))</f>
        <v>9</v>
      </c>
      <c r="U44" s="20">
        <f>(VLOOKUP(Table1[[#This Row],[Item_Rehab_WL]],[1]Input_EUL_CRC_ERC!$C$17:$E$27,2,FALSE)-Table1[[#This Row],[Last Rehab Age]])</f>
        <v>6</v>
      </c>
      <c r="V44" s="26">
        <f>[1]Input_EUL_CRC_ERC!$B$17-Table1[[#This Row],[Year Installed_HP]]</f>
        <v>9</v>
      </c>
      <c r="W44" s="26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44" s="26">
        <f>[1]Input_EUL_CRC_ERC!$B$17-Table1[[#This Row],[Year Installed_PF]]</f>
        <v>9</v>
      </c>
      <c r="Y44" s="26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44" s="25">
        <f>IF(Table1[[#This Row],[Years_Next_Rehab_Well]]&lt;=0,VLOOKUP(Table1[[#This Row],[Item_Rehab_WL]],[1]!Table2[#All],3,FALSE),0)</f>
        <v>0</v>
      </c>
      <c r="AA44" s="25">
        <f>IF(Table1[[#This Row],[Adjusted_ULife_HP]]&lt;=0,VLOOKUP(Table1[[#This Row],[Item_Handpump]],[1]!Table2[#All],3,FALSE),0)</f>
        <v>0</v>
      </c>
      <c r="AB44" s="25">
        <f>IF(Table1[[#This Row],[Adjusted_ULife_PF]]&lt;=0,VLOOKUP(Table1[[#This Row],[Item_Platform]],[1]!Table2[#All],3,FALSE),0)</f>
        <v>0</v>
      </c>
      <c r="AC44" s="25">
        <f>SUM(Table1[[#This Row],[current yr_wl]:[current yr_pf]])</f>
        <v>0</v>
      </c>
      <c r="AD44" s="25">
        <f>IF(Table1[[#This Row],[Years_Next_Rehab_Well]]=1,VLOOKUP(Table1[[#This Row],[Item_Rehab_WL]],[1]!Table2[#All],4,FALSE),0)</f>
        <v>0</v>
      </c>
      <c r="AE44" s="25">
        <f>IF(Table1[[#This Row],[Adjusted_ULife_HP]]=1,VLOOKUP(Table1[[#This Row],[Item_Handpump]],[1]!Table2[#All],4,FALSE),0)</f>
        <v>0</v>
      </c>
      <c r="AF44" s="25">
        <f>IF(Table1[[#This Row],[Adjusted_ULife_PF]]=1,VLOOKUP(Table1[[#This Row],[Item_Platform]],[1]!Table2[#All],4,FALSE),0)</f>
        <v>0</v>
      </c>
      <c r="AG44" s="25">
        <f>SUM(Table1[[#This Row],[yr 1_wl]:[yr 1_pf]])</f>
        <v>0</v>
      </c>
      <c r="AH44" s="25">
        <f>IF(Table1[[#This Row],[Years_Next_Rehab_Well]]=2,VLOOKUP(Table1[[#This Row],[Item_Rehab_WL]],[1]!Table2[#All],5,FALSE),0)</f>
        <v>0</v>
      </c>
      <c r="AI44" s="25">
        <f>IF(Table1[[#This Row],[Adjusted_ULife_HP]]=2,VLOOKUP(Table1[[#This Row],[Item_Handpump]],[1]!Table2[#All],5,FALSE),0)</f>
        <v>0</v>
      </c>
      <c r="AJ44" s="25">
        <f>IF(Table1[[#This Row],[Adjusted_ULife_PF]]=2,VLOOKUP(Table1[[#This Row],[Item_Platform]],[1]!Table2[#All],5,FALSE),0)</f>
        <v>0</v>
      </c>
      <c r="AK44" s="25">
        <f>SUM(Table1[[#This Row],[yr 2_wl]:[yr 2_pf]])</f>
        <v>0</v>
      </c>
      <c r="AL44" s="25">
        <f>IF(Table1[[#This Row],[Years_Next_Rehab_Well]]=3,VLOOKUP(Table1[[#This Row],[Item_Rehab_WL]],[1]!Table2[#All],6,FALSE),0)</f>
        <v>0</v>
      </c>
      <c r="AM44" s="25">
        <f>IF(Table1[[#This Row],[Adjusted_ULife_HP]]=3,VLOOKUP(Table1[[#This Row],[Item_Handpump]],[1]!Table2[#All],6,FALSE),0)</f>
        <v>0</v>
      </c>
      <c r="AN44" s="25">
        <f>IF(Table1[[#This Row],[Adjusted_ULife_PF]]=3,VLOOKUP(Table1[[#This Row],[Item_Platform]],[1]!Table2[#All],6,FALSE),0)</f>
        <v>0</v>
      </c>
      <c r="AO44" s="25">
        <f>SUM(Table1[[#This Row],[yr 3_wl]:[yr 3_pf]])</f>
        <v>0</v>
      </c>
      <c r="AP44" s="25">
        <f>IF(Table1[[#This Row],[Years_Next_Rehab_Well]]=4,VLOOKUP(Table1[[#This Row],[Item_Rehab_WL]],[1]!Table2[#All],7,FALSE),0)</f>
        <v>0</v>
      </c>
      <c r="AQ44" s="25">
        <f>IF(Table1[[#This Row],[Adjusted_ULife_HP]]=4,VLOOKUP(Table1[[#This Row],[Item_Handpump]],[1]!Table2[#All],7,FALSE),0)</f>
        <v>0</v>
      </c>
      <c r="AR44" s="25">
        <f>IF(Table1[[#This Row],[Adjusted_ULife_PF]]=4,VLOOKUP(Table1[[#This Row],[Item_Platform]],[1]!Table2[#All],7,FALSE),0)</f>
        <v>0</v>
      </c>
      <c r="AS44" s="25">
        <f>SUM(Table1[[#This Row],[yr 4_wl]:[yr 4_pf]])</f>
        <v>0</v>
      </c>
      <c r="AT44" s="25">
        <f>IF(Table1[[#This Row],[Years_Next_Rehab_Well]]=5,VLOOKUP(Table1[[#This Row],[Item_Rehab_WL]],[1]!Table2[#All],8,FALSE),0)</f>
        <v>0</v>
      </c>
      <c r="AU44" s="25">
        <f>IF(Table1[[#This Row],[Adjusted_ULife_HP]]=5,VLOOKUP(Table1[[#This Row],[Item_Handpump]],[1]!Table2[#All],8,FALSE),0)</f>
        <v>0</v>
      </c>
      <c r="AV44" s="25">
        <f>IF(Table1[[#This Row],[Adjusted_ULife_PF]]=5,VLOOKUP(Table1[[#This Row],[Item_Platform]],[1]!Table2[#All],8,FALSE),0)</f>
        <v>0</v>
      </c>
      <c r="AW44" s="25">
        <f>SUM(Table1[[#This Row],[yr 5_wl]:[yr 5_pf]])</f>
        <v>0</v>
      </c>
      <c r="AX44" s="25">
        <f>IF(Table1[[#This Row],[Years_Next_Rehab_Well]]=6,VLOOKUP(Table1[[#This Row],[Item_Rehab_WL]],[1]!Table2[#All],9,FALSE),0)</f>
        <v>7237.3498456746702</v>
      </c>
      <c r="AY44" s="25">
        <f>IF(Table1[[#This Row],[Adjusted_ULife_HP]]=6,VLOOKUP(Table1[[#This Row],[Item_Handpump]],[1]!Table2[#All],9,FALSE),0)</f>
        <v>0</v>
      </c>
      <c r="AZ44" s="25">
        <f>IF(Table1[[#This Row],[Adjusted_ULife_PF]]=6,VLOOKUP(Table1[[#This Row],[Item_Platform]],[1]!Table2[#All],9,FALSE),0)</f>
        <v>2960.7340277760022</v>
      </c>
      <c r="BA44" s="25">
        <f>SUM(Table1[[#This Row],[yr 6_wl]:[yr 6_pf]])</f>
        <v>10198.083873450672</v>
      </c>
      <c r="BB44" s="25">
        <f>IF(Table1[[#This Row],[Years_Next_Rehab_Well]]=7,VLOOKUP(Table1[[#This Row],[Item_Rehab_WL]],[1]!Table2[#All],10,FALSE),0)</f>
        <v>0</v>
      </c>
      <c r="BC44" s="25">
        <f>IF(Table1[[#This Row],[Adjusted_ULife_HP]]=7,VLOOKUP(Table1[[#This Row],[Item_Handpump]],[1]!Table2[#All],10,FALSE),0)</f>
        <v>0</v>
      </c>
      <c r="BD44" s="25">
        <f>IF(Table1[[#This Row],[Adjusted_ULife_PF]]=7,VLOOKUP(Table1[[#This Row],[Item_Platform]],[1]!Table2[#All],10,FALSE),0)</f>
        <v>0</v>
      </c>
      <c r="BE44" s="25">
        <f>SUM(Table1[[#This Row],[yr 7_wl]:[yr 7_pf]])</f>
        <v>0</v>
      </c>
      <c r="BF44" s="25">
        <f>IF(Table1[[#This Row],[Years_Next_Rehab_Well]]=8,VLOOKUP(Table1[[#This Row],[Item_Rehab_WL]],[1]!Table2[#All],11,FALSE),0)</f>
        <v>0</v>
      </c>
      <c r="BG44" s="25">
        <f>IF(Table1[[#This Row],[Adjusted_ULife_HP]]=8,VLOOKUP(Table1[[#This Row],[Item_Handpump]],[1]!Table2[#All],11,FALSE),0)</f>
        <v>0</v>
      </c>
      <c r="BH44" s="25">
        <f>IF(Table1[[#This Row],[Adjusted_ULife_PF]]=8,VLOOKUP(Table1[[#This Row],[Item_Platform]],[1]!Table2[#All],11,FALSE),0)</f>
        <v>0</v>
      </c>
      <c r="BI44" s="25">
        <f>SUM(Table1[[#This Row],[yr 8_wl]:[yr 8_pf]])</f>
        <v>0</v>
      </c>
      <c r="BJ44" s="25">
        <f>IF(Table1[[#This Row],[Years_Next_Rehab_Well]]=9,VLOOKUP(Table1[[#This Row],[Item_Rehab_WL]],[1]!Table2[#All],12,FALSE),0)</f>
        <v>0</v>
      </c>
      <c r="BK44" s="25">
        <f>IF(Table1[[#This Row],[Adjusted_ULife_HP]]=9,VLOOKUP(Table1[[#This Row],[Item_Handpump]],[1]!Table2[#All],12,FALSE),0)</f>
        <v>0</v>
      </c>
      <c r="BL44" s="25">
        <f>IF(Table1[[#This Row],[Adjusted_ULife_PF]]=9,VLOOKUP(Table1[[#This Row],[Item_Platform]],[1]!Table2[#All],12,FALSE),0)</f>
        <v>0</v>
      </c>
      <c r="BM44" s="25">
        <f>SUM(Table1[[#This Row],[yr 9_wl]:[yr 9_pf]])</f>
        <v>0</v>
      </c>
      <c r="BN44" s="25">
        <f>IF(Table1[[#This Row],[Years_Next_Rehab_Well]]=10,VLOOKUP(Table1[[#This Row],[Item_Rehab_WL]],[1]!Table2[#All],13,FALSE),0)</f>
        <v>0</v>
      </c>
      <c r="BO44" s="25">
        <f>IF(Table1[[#This Row],[Adjusted_ULife_HP]]=10,VLOOKUP(Table1[[#This Row],[Item_Handpump]],[1]!Table2[#All],13,FALSE),0)</f>
        <v>0</v>
      </c>
      <c r="BP44" s="25">
        <f>IF(Table1[[#This Row],[Adjusted_ULife_PF]]=10,VLOOKUP(Table1[[#This Row],[Item_Platform]],[1]!Table2[#All],13,FALSE),0)</f>
        <v>0</v>
      </c>
      <c r="BQ44" s="25">
        <f>SUM(Table1[[#This Row],[yr 10_wl]:[yr 10_pf]])</f>
        <v>0</v>
      </c>
      <c r="BR44" s="25">
        <f>IF(Table1[[#This Row],[Years_Next_Rehab_Well]]=11,VLOOKUP(Table1[[#This Row],[Item_Rehab_WL]],[1]!Table2[#All],14,FALSE),0)</f>
        <v>0</v>
      </c>
      <c r="BS44" s="25">
        <f>IF(Table1[[#This Row],[Adjusted_ULife_HP]]=11,VLOOKUP(Table1[[#This Row],[Item_Handpump]],[1]!Table2[#All],14,FALSE),0)</f>
        <v>0</v>
      </c>
      <c r="BT44" s="25">
        <f>IF(Table1[[#This Row],[Adjusted_ULife_PF]]=11,VLOOKUP(Table1[[#This Row],[Item_Platform]],[1]!Table2[#All],14,FALSE),0)</f>
        <v>0</v>
      </c>
      <c r="BU44" s="25">
        <f>SUM(Table1[[#This Row],[yr 11_wl]:[yr 11_pf]])</f>
        <v>0</v>
      </c>
      <c r="BV44" s="25">
        <f>IF(Table1[[#This Row],[Years_Next_Rehab_Well]]=12,VLOOKUP(Table1[[#This Row],[Item_Rehab_WL]],[1]!Table2[#All],15,FALSE),0)</f>
        <v>0</v>
      </c>
      <c r="BW44" s="25">
        <f>IF(Table1[[#This Row],[Adjusted_ULife_HP]]=12,VLOOKUP(Table1[[#This Row],[Item_Handpump]],[1]!Table2[#All],15,FALSE),0)</f>
        <v>0</v>
      </c>
      <c r="BX44" s="25">
        <f>IF(Table1[[#This Row],[Adjusted_ULife_PF]]=12,VLOOKUP(Table1[[#This Row],[Item_Platform]],[1]!Table2[#All],15,FALSE),0)</f>
        <v>0</v>
      </c>
      <c r="BY44" s="25">
        <f>SUM(Table1[[#This Row],[yr 12_wl]:[yr 12_pf]])</f>
        <v>0</v>
      </c>
      <c r="BZ44" s="25">
        <f>IF(Table1[[#This Row],[Years_Next_Rehab_Well]]=13,VLOOKUP(Table1[[#This Row],[Item_Rehab_WL]],[1]!Table2[#All],16,FALSE),0)</f>
        <v>0</v>
      </c>
      <c r="CA44" s="25">
        <f>IF(Table1[[#This Row],[Adjusted_ULife_HP]]=13,VLOOKUP(Table1[[#This Row],[Item_Handpump]],[1]!Table2[#All],16,FALSE),0)</f>
        <v>0</v>
      </c>
      <c r="CB44" s="25">
        <f>IF(Table1[[#This Row],[Adjusted_ULife_PF]]=13,VLOOKUP(Table1[[#This Row],[Item_Platform]],[1]!Table2[#All],16,FALSE),0)</f>
        <v>0</v>
      </c>
      <c r="CC44" s="25">
        <f>SUM(Table1[[#This Row],[yr 13_wl]:[yr 13_pf]])</f>
        <v>0</v>
      </c>
      <c r="CD44" s="12"/>
    </row>
    <row r="45" spans="1:82" s="11" customFormat="1" x14ac:dyDescent="0.25">
      <c r="A45" s="11" t="str">
        <f>IF([1]Input_monitoring_data!A41="","",[1]Input_monitoring_data!A41)</f>
        <v>6yvv-wrwu-j9ud</v>
      </c>
      <c r="B45" s="22" t="str">
        <f>[1]Input_monitoring_data!BH41</f>
        <v>Ntotroso</v>
      </c>
      <c r="C45" s="22" t="str">
        <f>[1]Input_monitoring_data!BI41</f>
        <v>Kokofu</v>
      </c>
      <c r="D45" s="22" t="str">
        <f>[1]Input_monitoring_data!P41</f>
        <v>7.076907395033276</v>
      </c>
      <c r="E45" s="22" t="str">
        <f>[1]Input_monitoring_data!Q41</f>
        <v>-2.398855841471971</v>
      </c>
      <c r="F45" s="22" t="str">
        <f>[1]Input_monitoring_data!V41</f>
        <v>Infront CMB Building</v>
      </c>
      <c r="G45" s="23" t="str">
        <f>[1]Input_monitoring_data!U41</f>
        <v>Borehole</v>
      </c>
      <c r="H45" s="22">
        <f>[1]Input_monitoring_data!X41</f>
        <v>2002</v>
      </c>
      <c r="I45" s="21" t="str">
        <f>[1]Input_monitoring_data!AB41</f>
        <v>Borehole redevelopment</v>
      </c>
      <c r="J45" s="21">
        <f>[1]Input_monitoring_data!AC41</f>
        <v>0</v>
      </c>
      <c r="K45" s="23" t="str">
        <f>[1]Input_monitoring_data!W41</f>
        <v>AfriDev</v>
      </c>
      <c r="L45" s="22">
        <f>[1]Input_monitoring_data!X41</f>
        <v>2002</v>
      </c>
      <c r="M45" s="21">
        <f>IF([1]Input_monitoring_data!BL41&gt;'Point Sources_Asset_Register_'!L45,[1]Input_monitoring_data!BL41,"")</f>
        <v>2013</v>
      </c>
      <c r="N45" s="22" t="str">
        <f>[1]Input_monitoring_data!BQ41</f>
        <v>functional</v>
      </c>
      <c r="O45" s="22">
        <f>[1]Input_monitoring_data!AJ41</f>
        <v>0</v>
      </c>
      <c r="P45" s="23" t="s">
        <v>0</v>
      </c>
      <c r="Q45" s="22">
        <f>L45</f>
        <v>2002</v>
      </c>
      <c r="R45" s="21">
        <f>M45</f>
        <v>2013</v>
      </c>
      <c r="S45" s="20">
        <f>[1]Input_EUL_CRC_ERC!$B$17-Table1[[#This Row],[Year Installed_WL]]</f>
        <v>15</v>
      </c>
      <c r="T45" s="20">
        <f>[1]Input_EUL_CRC_ERC!$B$17-(IF(Table1[[#This Row],[Year Last_Rehab_WL ]]=0,Table1[[#This Row],[Year Installed_WL]],[1]Input_EUL_CRC_ERC!$B$17-Table1[[#This Row],[Year Last_Rehab_WL ]]))</f>
        <v>15</v>
      </c>
      <c r="U45" s="20">
        <f>(VLOOKUP(Table1[[#This Row],[Item_Rehab_WL]],[1]Input_EUL_CRC_ERC!$C$17:$E$27,2,FALSE)-Table1[[#This Row],[Last Rehab Age]])</f>
        <v>0</v>
      </c>
      <c r="V45" s="26">
        <f>[1]Input_EUL_CRC_ERC!$B$17-Table1[[#This Row],[Year Installed_HP]]</f>
        <v>15</v>
      </c>
      <c r="W45" s="26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45" s="26">
        <f>[1]Input_EUL_CRC_ERC!$B$17-Table1[[#This Row],[Year Installed_PF]]</f>
        <v>15</v>
      </c>
      <c r="Y45" s="26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45" s="25">
        <f>IF(Table1[[#This Row],[Years_Next_Rehab_Well]]&lt;=0,VLOOKUP(Table1[[#This Row],[Item_Rehab_WL]],[1]!Table2[#All],3,FALSE),0)</f>
        <v>3666.6666666666665</v>
      </c>
      <c r="AA45" s="25">
        <f>IF(Table1[[#This Row],[Adjusted_ULife_HP]]&lt;=0,VLOOKUP(Table1[[#This Row],[Item_Handpump]],[1]!Table2[#All],3,FALSE),0)</f>
        <v>0</v>
      </c>
      <c r="AB45" s="25">
        <f>IF(Table1[[#This Row],[Adjusted_ULife_PF]]&lt;=0,VLOOKUP(Table1[[#This Row],[Item_Platform]],[1]!Table2[#All],3,FALSE),0)</f>
        <v>0</v>
      </c>
      <c r="AC45" s="25">
        <f>SUM(Table1[[#This Row],[current yr_wl]:[current yr_pf]])</f>
        <v>3666.6666666666665</v>
      </c>
      <c r="AD45" s="25">
        <f>IF(Table1[[#This Row],[Years_Next_Rehab_Well]]=1,VLOOKUP(Table1[[#This Row],[Item_Rehab_WL]],[1]!Table2[#All],4,FALSE),0)</f>
        <v>0</v>
      </c>
      <c r="AE45" s="25">
        <f>IF(Table1[[#This Row],[Adjusted_ULife_HP]]=1,VLOOKUP(Table1[[#This Row],[Item_Handpump]],[1]!Table2[#All],4,FALSE),0)</f>
        <v>0</v>
      </c>
      <c r="AF45" s="25">
        <f>IF(Table1[[#This Row],[Adjusted_ULife_PF]]=1,VLOOKUP(Table1[[#This Row],[Item_Platform]],[1]!Table2[#All],4,FALSE),0)</f>
        <v>0</v>
      </c>
      <c r="AG45" s="25">
        <f>SUM(Table1[[#This Row],[yr 1_wl]:[yr 1_pf]])</f>
        <v>0</v>
      </c>
      <c r="AH45" s="25">
        <f>IF(Table1[[#This Row],[Years_Next_Rehab_Well]]=2,VLOOKUP(Table1[[#This Row],[Item_Rehab_WL]],[1]!Table2[#All],5,FALSE),0)</f>
        <v>0</v>
      </c>
      <c r="AI45" s="25">
        <f>IF(Table1[[#This Row],[Adjusted_ULife_HP]]=2,VLOOKUP(Table1[[#This Row],[Item_Handpump]],[1]!Table2[#All],5,FALSE),0)</f>
        <v>0</v>
      </c>
      <c r="AJ45" s="25">
        <f>IF(Table1[[#This Row],[Adjusted_ULife_PF]]=2,VLOOKUP(Table1[[#This Row],[Item_Platform]],[1]!Table2[#All],5,FALSE),0)</f>
        <v>0</v>
      </c>
      <c r="AK45" s="25">
        <f>SUM(Table1[[#This Row],[yr 2_wl]:[yr 2_pf]])</f>
        <v>0</v>
      </c>
      <c r="AL45" s="25">
        <f>IF(Table1[[#This Row],[Years_Next_Rehab_Well]]=3,VLOOKUP(Table1[[#This Row],[Item_Rehab_WL]],[1]!Table2[#All],6,FALSE),0)</f>
        <v>0</v>
      </c>
      <c r="AM45" s="25">
        <f>IF(Table1[[#This Row],[Adjusted_ULife_HP]]=3,VLOOKUP(Table1[[#This Row],[Item_Handpump]],[1]!Table2[#All],6,FALSE),0)</f>
        <v>0</v>
      </c>
      <c r="AN45" s="25">
        <f>IF(Table1[[#This Row],[Adjusted_ULife_PF]]=3,VLOOKUP(Table1[[#This Row],[Item_Platform]],[1]!Table2[#All],6,FALSE),0)</f>
        <v>0</v>
      </c>
      <c r="AO45" s="25">
        <f>SUM(Table1[[#This Row],[yr 3_wl]:[yr 3_pf]])</f>
        <v>0</v>
      </c>
      <c r="AP45" s="25">
        <f>IF(Table1[[#This Row],[Years_Next_Rehab_Well]]=4,VLOOKUP(Table1[[#This Row],[Item_Rehab_WL]],[1]!Table2[#All],7,FALSE),0)</f>
        <v>0</v>
      </c>
      <c r="AQ45" s="25">
        <f>IF(Table1[[#This Row],[Adjusted_ULife_HP]]=4,VLOOKUP(Table1[[#This Row],[Item_Handpump]],[1]!Table2[#All],7,FALSE),0)</f>
        <v>0</v>
      </c>
      <c r="AR45" s="25">
        <f>IF(Table1[[#This Row],[Adjusted_ULife_PF]]=4,VLOOKUP(Table1[[#This Row],[Item_Platform]],[1]!Table2[#All],7,FALSE),0)</f>
        <v>0</v>
      </c>
      <c r="AS45" s="25">
        <f>SUM(Table1[[#This Row],[yr 4_wl]:[yr 4_pf]])</f>
        <v>0</v>
      </c>
      <c r="AT45" s="25">
        <f>IF(Table1[[#This Row],[Years_Next_Rehab_Well]]=5,VLOOKUP(Table1[[#This Row],[Item_Rehab_WL]],[1]!Table2[#All],8,FALSE),0)</f>
        <v>0</v>
      </c>
      <c r="AU45" s="25">
        <f>IF(Table1[[#This Row],[Adjusted_ULife_HP]]=5,VLOOKUP(Table1[[#This Row],[Item_Handpump]],[1]!Table2[#All],8,FALSE),0)</f>
        <v>0</v>
      </c>
      <c r="AV45" s="25">
        <f>IF(Table1[[#This Row],[Adjusted_ULife_PF]]=5,VLOOKUP(Table1[[#This Row],[Item_Platform]],[1]!Table2[#All],8,FALSE),0)</f>
        <v>0</v>
      </c>
      <c r="AW45" s="25">
        <f>SUM(Table1[[#This Row],[yr 5_wl]:[yr 5_pf]])</f>
        <v>0</v>
      </c>
      <c r="AX45" s="25">
        <f>IF(Table1[[#This Row],[Years_Next_Rehab_Well]]=6,VLOOKUP(Table1[[#This Row],[Item_Rehab_WL]],[1]!Table2[#All],9,FALSE),0)</f>
        <v>0</v>
      </c>
      <c r="AY45" s="25">
        <f>IF(Table1[[#This Row],[Adjusted_ULife_HP]]=6,VLOOKUP(Table1[[#This Row],[Item_Handpump]],[1]!Table2[#All],9,FALSE),0)</f>
        <v>0</v>
      </c>
      <c r="AZ45" s="25">
        <f>IF(Table1[[#This Row],[Adjusted_ULife_PF]]=6,VLOOKUP(Table1[[#This Row],[Item_Platform]],[1]!Table2[#All],9,FALSE),0)</f>
        <v>2960.7340277760022</v>
      </c>
      <c r="BA45" s="25">
        <f>SUM(Table1[[#This Row],[yr 6_wl]:[yr 6_pf]])</f>
        <v>2960.7340277760022</v>
      </c>
      <c r="BB45" s="25">
        <f>IF(Table1[[#This Row],[Years_Next_Rehab_Well]]=7,VLOOKUP(Table1[[#This Row],[Item_Rehab_WL]],[1]!Table2[#All],10,FALSE),0)</f>
        <v>0</v>
      </c>
      <c r="BC45" s="25">
        <f>IF(Table1[[#This Row],[Adjusted_ULife_HP]]=7,VLOOKUP(Table1[[#This Row],[Item_Handpump]],[1]!Table2[#All],10,FALSE),0)</f>
        <v>0</v>
      </c>
      <c r="BD45" s="25">
        <f>IF(Table1[[#This Row],[Adjusted_ULife_PF]]=7,VLOOKUP(Table1[[#This Row],[Item_Platform]],[1]!Table2[#All],10,FALSE),0)</f>
        <v>0</v>
      </c>
      <c r="BE45" s="25">
        <f>SUM(Table1[[#This Row],[yr 7_wl]:[yr 7_pf]])</f>
        <v>0</v>
      </c>
      <c r="BF45" s="25">
        <f>IF(Table1[[#This Row],[Years_Next_Rehab_Well]]=8,VLOOKUP(Table1[[#This Row],[Item_Rehab_WL]],[1]!Table2[#All],11,FALSE),0)</f>
        <v>0</v>
      </c>
      <c r="BG45" s="25">
        <f>IF(Table1[[#This Row],[Adjusted_ULife_HP]]=8,VLOOKUP(Table1[[#This Row],[Item_Handpump]],[1]!Table2[#All],11,FALSE),0)</f>
        <v>0</v>
      </c>
      <c r="BH45" s="25">
        <f>IF(Table1[[#This Row],[Adjusted_ULife_PF]]=8,VLOOKUP(Table1[[#This Row],[Item_Platform]],[1]!Table2[#All],11,FALSE),0)</f>
        <v>0</v>
      </c>
      <c r="BI45" s="25">
        <f>SUM(Table1[[#This Row],[yr 8_wl]:[yr 8_pf]])</f>
        <v>0</v>
      </c>
      <c r="BJ45" s="25">
        <f>IF(Table1[[#This Row],[Years_Next_Rehab_Well]]=9,VLOOKUP(Table1[[#This Row],[Item_Rehab_WL]],[1]!Table2[#All],12,FALSE),0)</f>
        <v>0</v>
      </c>
      <c r="BK45" s="25">
        <f>IF(Table1[[#This Row],[Adjusted_ULife_HP]]=9,VLOOKUP(Table1[[#This Row],[Item_Handpump]],[1]!Table2[#All],12,FALSE),0)</f>
        <v>0</v>
      </c>
      <c r="BL45" s="25">
        <f>IF(Table1[[#This Row],[Adjusted_ULife_PF]]=9,VLOOKUP(Table1[[#This Row],[Item_Platform]],[1]!Table2[#All],12,FALSE),0)</f>
        <v>0</v>
      </c>
      <c r="BM45" s="25">
        <f>SUM(Table1[[#This Row],[yr 9_wl]:[yr 9_pf]])</f>
        <v>0</v>
      </c>
      <c r="BN45" s="25">
        <f>IF(Table1[[#This Row],[Years_Next_Rehab_Well]]=10,VLOOKUP(Table1[[#This Row],[Item_Rehab_WL]],[1]!Table2[#All],13,FALSE),0)</f>
        <v>0</v>
      </c>
      <c r="BO45" s="25">
        <f>IF(Table1[[#This Row],[Adjusted_ULife_HP]]=10,VLOOKUP(Table1[[#This Row],[Item_Handpump]],[1]!Table2[#All],13,FALSE),0)</f>
        <v>0</v>
      </c>
      <c r="BP45" s="25">
        <f>IF(Table1[[#This Row],[Adjusted_ULife_PF]]=10,VLOOKUP(Table1[[#This Row],[Item_Platform]],[1]!Table2[#All],13,FALSE),0)</f>
        <v>0</v>
      </c>
      <c r="BQ45" s="25">
        <f>SUM(Table1[[#This Row],[yr 10_wl]:[yr 10_pf]])</f>
        <v>0</v>
      </c>
      <c r="BR45" s="25">
        <f>IF(Table1[[#This Row],[Years_Next_Rehab_Well]]=11,VLOOKUP(Table1[[#This Row],[Item_Rehab_WL]],[1]!Table2[#All],14,FALSE),0)</f>
        <v>0</v>
      </c>
      <c r="BS45" s="25">
        <f>IF(Table1[[#This Row],[Adjusted_ULife_HP]]=11,VLOOKUP(Table1[[#This Row],[Item_Handpump]],[1]!Table2[#All],14,FALSE),0)</f>
        <v>0</v>
      </c>
      <c r="BT45" s="25">
        <f>IF(Table1[[#This Row],[Adjusted_ULife_PF]]=11,VLOOKUP(Table1[[#This Row],[Item_Platform]],[1]!Table2[#All],14,FALSE),0)</f>
        <v>0</v>
      </c>
      <c r="BU45" s="25">
        <f>SUM(Table1[[#This Row],[yr 11_wl]:[yr 11_pf]])</f>
        <v>0</v>
      </c>
      <c r="BV45" s="25">
        <f>IF(Table1[[#This Row],[Years_Next_Rehab_Well]]=12,VLOOKUP(Table1[[#This Row],[Item_Rehab_WL]],[1]!Table2[#All],15,FALSE),0)</f>
        <v>0</v>
      </c>
      <c r="BW45" s="25">
        <f>IF(Table1[[#This Row],[Adjusted_ULife_HP]]=12,VLOOKUP(Table1[[#This Row],[Item_Handpump]],[1]!Table2[#All],15,FALSE),0)</f>
        <v>0</v>
      </c>
      <c r="BX45" s="25">
        <f>IF(Table1[[#This Row],[Adjusted_ULife_PF]]=12,VLOOKUP(Table1[[#This Row],[Item_Platform]],[1]!Table2[#All],15,FALSE),0)</f>
        <v>0</v>
      </c>
      <c r="BY45" s="25">
        <f>SUM(Table1[[#This Row],[yr 12_wl]:[yr 12_pf]])</f>
        <v>0</v>
      </c>
      <c r="BZ45" s="25">
        <f>IF(Table1[[#This Row],[Years_Next_Rehab_Well]]=13,VLOOKUP(Table1[[#This Row],[Item_Rehab_WL]],[1]!Table2[#All],16,FALSE),0)</f>
        <v>0</v>
      </c>
      <c r="CA45" s="25">
        <f>IF(Table1[[#This Row],[Adjusted_ULife_HP]]=13,VLOOKUP(Table1[[#This Row],[Item_Handpump]],[1]!Table2[#All],16,FALSE),0)</f>
        <v>0</v>
      </c>
      <c r="CB45" s="25">
        <f>IF(Table1[[#This Row],[Adjusted_ULife_PF]]=13,VLOOKUP(Table1[[#This Row],[Item_Platform]],[1]!Table2[#All],16,FALSE),0)</f>
        <v>0</v>
      </c>
      <c r="CC45" s="25">
        <f>SUM(Table1[[#This Row],[yr 13_wl]:[yr 13_pf]])</f>
        <v>0</v>
      </c>
      <c r="CD45" s="12"/>
    </row>
    <row r="46" spans="1:82" s="11" customFormat="1" x14ac:dyDescent="0.25">
      <c r="A46" s="11" t="str">
        <f>IF([1]Input_monitoring_data!A42="","",[1]Input_monitoring_data!A42)</f>
        <v>7bsv-1aj8-75th</v>
      </c>
      <c r="B46" s="22" t="str">
        <f>[1]Input_monitoring_data!BH42</f>
        <v>Gambia</v>
      </c>
      <c r="C46" s="22" t="str">
        <f>[1]Input_monitoring_data!BI42</f>
        <v>Nsuta</v>
      </c>
      <c r="D46" s="22" t="str">
        <f>[1]Input_monitoring_data!P42</f>
        <v>7.0880840736118</v>
      </c>
      <c r="E46" s="22" t="str">
        <f>[1]Input_monitoring_data!Q42</f>
        <v>-2.608158800324355</v>
      </c>
      <c r="F46" s="22" t="str">
        <f>[1]Input_monitoring_data!V42</f>
        <v>In The Premises Of Esther Narh</v>
      </c>
      <c r="G46" s="23" t="str">
        <f>[1]Input_monitoring_data!U42</f>
        <v>Borehole</v>
      </c>
      <c r="H46" s="22">
        <f>[1]Input_monitoring_data!X42</f>
        <v>2002</v>
      </c>
      <c r="I46" s="21" t="str">
        <f>[1]Input_monitoring_data!AB42</f>
        <v>Borehole redevelopment</v>
      </c>
      <c r="J46" s="21">
        <f>[1]Input_monitoring_data!AC42</f>
        <v>0</v>
      </c>
      <c r="K46" s="23" t="str">
        <f>[1]Input_monitoring_data!W42</f>
        <v>AfriDev</v>
      </c>
      <c r="L46" s="22">
        <f>[1]Input_monitoring_data!X42</f>
        <v>2002</v>
      </c>
      <c r="M46" s="21" t="str">
        <f>IF([1]Input_monitoring_data!BL42&gt;'Point Sources_Asset_Register_'!L46,[1]Input_monitoring_data!BL42,"")</f>
        <v/>
      </c>
      <c r="N46" s="22" t="str">
        <f>[1]Input_monitoring_data!BQ42</f>
        <v>functional</v>
      </c>
      <c r="O46" s="22">
        <f>[1]Input_monitoring_data!AJ42</f>
        <v>0</v>
      </c>
      <c r="P46" s="23" t="s">
        <v>0</v>
      </c>
      <c r="Q46" s="22">
        <f>L46</f>
        <v>2002</v>
      </c>
      <c r="R46" s="21" t="str">
        <f>M46</f>
        <v/>
      </c>
      <c r="S46" s="20">
        <f>[1]Input_EUL_CRC_ERC!$B$17-Table1[[#This Row],[Year Installed_WL]]</f>
        <v>15</v>
      </c>
      <c r="T46" s="20">
        <f>[1]Input_EUL_CRC_ERC!$B$17-(IF(Table1[[#This Row],[Year Last_Rehab_WL ]]=0,Table1[[#This Row],[Year Installed_WL]],[1]Input_EUL_CRC_ERC!$B$17-Table1[[#This Row],[Year Last_Rehab_WL ]]))</f>
        <v>15</v>
      </c>
      <c r="U46" s="20">
        <f>(VLOOKUP(Table1[[#This Row],[Item_Rehab_WL]],[1]Input_EUL_CRC_ERC!$C$17:$E$27,2,FALSE)-Table1[[#This Row],[Last Rehab Age]])</f>
        <v>0</v>
      </c>
      <c r="V46" s="19">
        <f>[1]Input_EUL_CRC_ERC!$B$17-Table1[[#This Row],[Year Installed_HP]]</f>
        <v>15</v>
      </c>
      <c r="W46" s="19">
        <f>(VLOOKUP(Table1[[#This Row],[Item_Handpump]],[1]!Table2[#All],2,FALSE))-(IF(Table1[[#This Row],[Year Last_Rehab_HP]]="",Table1[[#This Row],[Current Age_Handpump]],[1]Input_EUL_CRC_ERC!$B$17-Table1[[#This Row],[Year Last_Rehab_HP]]))</f>
        <v>5</v>
      </c>
      <c r="X46" s="19">
        <f>[1]Input_EUL_CRC_ERC!$B$17-Table1[[#This Row],[Year Installed_PF]]</f>
        <v>15</v>
      </c>
      <c r="Y46" s="19">
        <f>(VLOOKUP(Table1[[#This Row],[Item_Platform]],[1]!Table2[#All],2,FALSE))-(IF(Table1[[#This Row],[Year Last_Rehab_PF]]="",Table1[[#This Row],[Current Age_Platform]],[1]Input_EUL_CRC_ERC!$B$17-Table1[[#This Row],[Year Last_Rehab_PF]]))</f>
        <v>-5</v>
      </c>
      <c r="Z46" s="25">
        <f>IF(Table1[[#This Row],[Years_Next_Rehab_Well]]&lt;=0,VLOOKUP(Table1[[#This Row],[Item_Rehab_WL]],[1]!Table2[#All],3,FALSE),0)</f>
        <v>3666.6666666666665</v>
      </c>
      <c r="AA46" s="18">
        <f>IF(Table1[[#This Row],[Adjusted_ULife_HP]]&lt;=0,VLOOKUP(Table1[[#This Row],[Item_Handpump]],[1]!Table2[#All],3,FALSE),0)</f>
        <v>0</v>
      </c>
      <c r="AB46" s="18">
        <f>IF(Table1[[#This Row],[Adjusted_ULife_PF]]&lt;=0,VLOOKUP(Table1[[#This Row],[Item_Platform]],[1]!Table2[#All],3,FALSE),0)</f>
        <v>1500</v>
      </c>
      <c r="AC46" s="18">
        <f>SUM(Table1[[#This Row],[current yr_wl]:[current yr_pf]])</f>
        <v>5166.6666666666661</v>
      </c>
      <c r="AD46" s="25">
        <f>IF(Table1[[#This Row],[Years_Next_Rehab_Well]]=1,VLOOKUP(Table1[[#This Row],[Item_Rehab_WL]],[1]!Table2[#All],4,FALSE),0)</f>
        <v>0</v>
      </c>
      <c r="AE46" s="25">
        <f>IF(Table1[[#This Row],[Adjusted_ULife_HP]]=1,VLOOKUP(Table1[[#This Row],[Item_Handpump]],[1]!Table2[#All],4,FALSE),0)</f>
        <v>0</v>
      </c>
      <c r="AF46" s="25">
        <f>IF(Table1[[#This Row],[Adjusted_ULife_PF]]=1,VLOOKUP(Table1[[#This Row],[Item_Platform]],[1]!Table2[#All],4,FALSE),0)</f>
        <v>0</v>
      </c>
      <c r="AG46" s="25">
        <f>SUM(Table1[[#This Row],[yr 1_wl]:[yr 1_pf]])</f>
        <v>0</v>
      </c>
      <c r="AH46" s="25">
        <f>IF(Table1[[#This Row],[Years_Next_Rehab_Well]]=2,VLOOKUP(Table1[[#This Row],[Item_Rehab_WL]],[1]!Table2[#All],5,FALSE),0)</f>
        <v>0</v>
      </c>
      <c r="AI46" s="25">
        <f>IF(Table1[[#This Row],[Adjusted_ULife_HP]]=2,VLOOKUP(Table1[[#This Row],[Item_Handpump]],[1]!Table2[#All],5,FALSE),0)</f>
        <v>0</v>
      </c>
      <c r="AJ46" s="25">
        <f>IF(Table1[[#This Row],[Adjusted_ULife_PF]]=2,VLOOKUP(Table1[[#This Row],[Item_Platform]],[1]!Table2[#All],5,FALSE),0)</f>
        <v>0</v>
      </c>
      <c r="AK46" s="25">
        <f>SUM(Table1[[#This Row],[yr 2_wl]:[yr 2_pf]])</f>
        <v>0</v>
      </c>
      <c r="AL46" s="25">
        <f>IF(Table1[[#This Row],[Years_Next_Rehab_Well]]=3,VLOOKUP(Table1[[#This Row],[Item_Rehab_WL]],[1]!Table2[#All],6,FALSE),0)</f>
        <v>0</v>
      </c>
      <c r="AM46" s="25">
        <f>IF(Table1[[#This Row],[Adjusted_ULife_HP]]=3,VLOOKUP(Table1[[#This Row],[Item_Handpump]],[1]!Table2[#All],6,FALSE),0)</f>
        <v>0</v>
      </c>
      <c r="AN46" s="25">
        <f>IF(Table1[[#This Row],[Adjusted_ULife_PF]]=3,VLOOKUP(Table1[[#This Row],[Item_Platform]],[1]!Table2[#All],6,FALSE),0)</f>
        <v>0</v>
      </c>
      <c r="AO46" s="25">
        <f>SUM(Table1[[#This Row],[yr 3_wl]:[yr 3_pf]])</f>
        <v>0</v>
      </c>
      <c r="AP46" s="25">
        <f>IF(Table1[[#This Row],[Years_Next_Rehab_Well]]=4,VLOOKUP(Table1[[#This Row],[Item_Rehab_WL]],[1]!Table2[#All],7,FALSE),0)</f>
        <v>0</v>
      </c>
      <c r="AQ46" s="25">
        <f>IF(Table1[[#This Row],[Adjusted_ULife_HP]]=4,VLOOKUP(Table1[[#This Row],[Item_Handpump]],[1]!Table2[#All],7,FALSE),0)</f>
        <v>0</v>
      </c>
      <c r="AR46" s="25">
        <f>IF(Table1[[#This Row],[Adjusted_ULife_PF]]=4,VLOOKUP(Table1[[#This Row],[Item_Platform]],[1]!Table2[#All],7,FALSE),0)</f>
        <v>0</v>
      </c>
      <c r="AS46" s="25">
        <f>SUM(Table1[[#This Row],[yr 4_wl]:[yr 4_pf]])</f>
        <v>0</v>
      </c>
      <c r="AT46" s="25">
        <f>IF(Table1[[#This Row],[Years_Next_Rehab_Well]]=5,VLOOKUP(Table1[[#This Row],[Item_Rehab_WL]],[1]!Table2[#All],8,FALSE),0)</f>
        <v>0</v>
      </c>
      <c r="AU46" s="25">
        <f>IF(Table1[[#This Row],[Adjusted_ULife_HP]]=5,VLOOKUP(Table1[[#This Row],[Item_Handpump]],[1]!Table2[#All],8,FALSE),0)</f>
        <v>704.93667328000026</v>
      </c>
      <c r="AV46" s="25">
        <f>IF(Table1[[#This Row],[Adjusted_ULife_PF]]=5,VLOOKUP(Table1[[#This Row],[Item_Platform]],[1]!Table2[#All],8,FALSE),0)</f>
        <v>0</v>
      </c>
      <c r="AW46" s="25">
        <f>SUM(Table1[[#This Row],[yr 5_wl]:[yr 5_pf]])</f>
        <v>704.93667328000026</v>
      </c>
      <c r="AX46" s="25">
        <f>IF(Table1[[#This Row],[Years_Next_Rehab_Well]]=6,VLOOKUP(Table1[[#This Row],[Item_Rehab_WL]],[1]!Table2[#All],9,FALSE),0)</f>
        <v>0</v>
      </c>
      <c r="AY46" s="25">
        <f>IF(Table1[[#This Row],[Adjusted_ULife_HP]]=6,VLOOKUP(Table1[[#This Row],[Item_Handpump]],[1]!Table2[#All],9,FALSE),0)</f>
        <v>0</v>
      </c>
      <c r="AZ46" s="25">
        <f>IF(Table1[[#This Row],[Adjusted_ULife_PF]]=6,VLOOKUP(Table1[[#This Row],[Item_Platform]],[1]!Table2[#All],9,FALSE),0)</f>
        <v>0</v>
      </c>
      <c r="BA46" s="25">
        <f>SUM(Table1[[#This Row],[yr 6_wl]:[yr 6_pf]])</f>
        <v>0</v>
      </c>
      <c r="BB46" s="25">
        <f>IF(Table1[[#This Row],[Years_Next_Rehab_Well]]=7,VLOOKUP(Table1[[#This Row],[Item_Rehab_WL]],[1]!Table2[#All],10,FALSE),0)</f>
        <v>0</v>
      </c>
      <c r="BC46" s="25">
        <f>IF(Table1[[#This Row],[Adjusted_ULife_HP]]=7,VLOOKUP(Table1[[#This Row],[Item_Handpump]],[1]!Table2[#All],10,FALSE),0)</f>
        <v>0</v>
      </c>
      <c r="BD46" s="25">
        <f>IF(Table1[[#This Row],[Adjusted_ULife_PF]]=7,VLOOKUP(Table1[[#This Row],[Item_Platform]],[1]!Table2[#All],10,FALSE),0)</f>
        <v>0</v>
      </c>
      <c r="BE46" s="25">
        <f>SUM(Table1[[#This Row],[yr 7_wl]:[yr 7_pf]])</f>
        <v>0</v>
      </c>
      <c r="BF46" s="25">
        <f>IF(Table1[[#This Row],[Years_Next_Rehab_Well]]=8,VLOOKUP(Table1[[#This Row],[Item_Rehab_WL]],[1]!Table2[#All],11,FALSE),0)</f>
        <v>0</v>
      </c>
      <c r="BG46" s="25">
        <f>IF(Table1[[#This Row],[Adjusted_ULife_HP]]=8,VLOOKUP(Table1[[#This Row],[Item_Handpump]],[1]!Table2[#All],11,FALSE),0)</f>
        <v>0</v>
      </c>
      <c r="BH46" s="25">
        <f>IF(Table1[[#This Row],[Adjusted_ULife_PF]]=8,VLOOKUP(Table1[[#This Row],[Item_Platform]],[1]!Table2[#All],11,FALSE),0)</f>
        <v>0</v>
      </c>
      <c r="BI46" s="25">
        <f>SUM(Table1[[#This Row],[yr 8_wl]:[yr 8_pf]])</f>
        <v>0</v>
      </c>
      <c r="BJ46" s="25">
        <f>IF(Table1[[#This Row],[Years_Next_Rehab_Well]]=9,VLOOKUP(Table1[[#This Row],[Item_Rehab_WL]],[1]!Table2[#All],12,FALSE),0)</f>
        <v>0</v>
      </c>
      <c r="BK46" s="25">
        <f>IF(Table1[[#This Row],[Adjusted_ULife_HP]]=9,VLOOKUP(Table1[[#This Row],[Item_Handpump]],[1]!Table2[#All],12,FALSE),0)</f>
        <v>0</v>
      </c>
      <c r="BL46" s="25">
        <f>IF(Table1[[#This Row],[Adjusted_ULife_PF]]=9,VLOOKUP(Table1[[#This Row],[Item_Platform]],[1]!Table2[#All],12,FALSE),0)</f>
        <v>0</v>
      </c>
      <c r="BM46" s="25">
        <f>SUM(Table1[[#This Row],[yr 9_wl]:[yr 9_pf]])</f>
        <v>0</v>
      </c>
      <c r="BN46" s="25">
        <f>IF(Table1[[#This Row],[Years_Next_Rehab_Well]]=10,VLOOKUP(Table1[[#This Row],[Item_Rehab_WL]],[1]!Table2[#All],13,FALSE),0)</f>
        <v>0</v>
      </c>
      <c r="BO46" s="25">
        <f>IF(Table1[[#This Row],[Adjusted_ULife_HP]]=10,VLOOKUP(Table1[[#This Row],[Item_Handpump]],[1]!Table2[#All],13,FALSE),0)</f>
        <v>0</v>
      </c>
      <c r="BP46" s="25">
        <f>IF(Table1[[#This Row],[Adjusted_ULife_PF]]=10,VLOOKUP(Table1[[#This Row],[Item_Platform]],[1]!Table2[#All],13,FALSE),0)</f>
        <v>0</v>
      </c>
      <c r="BQ46" s="25">
        <f>SUM(Table1[[#This Row],[yr 10_wl]:[yr 10_pf]])</f>
        <v>0</v>
      </c>
      <c r="BR46" s="25">
        <f>IF(Table1[[#This Row],[Years_Next_Rehab_Well]]=11,VLOOKUP(Table1[[#This Row],[Item_Rehab_WL]],[1]!Table2[#All],14,FALSE),0)</f>
        <v>0</v>
      </c>
      <c r="BS46" s="25">
        <f>IF(Table1[[#This Row],[Adjusted_ULife_HP]]=11,VLOOKUP(Table1[[#This Row],[Item_Handpump]],[1]!Table2[#All],14,FALSE),0)</f>
        <v>0</v>
      </c>
      <c r="BT46" s="25">
        <f>IF(Table1[[#This Row],[Adjusted_ULife_PF]]=11,VLOOKUP(Table1[[#This Row],[Item_Platform]],[1]!Table2[#All],14,FALSE),0)</f>
        <v>0</v>
      </c>
      <c r="BU46" s="25">
        <f>SUM(Table1[[#This Row],[yr 11_wl]:[yr 11_pf]])</f>
        <v>0</v>
      </c>
      <c r="BV46" s="25">
        <f>IF(Table1[[#This Row],[Years_Next_Rehab_Well]]=12,VLOOKUP(Table1[[#This Row],[Item_Rehab_WL]],[1]!Table2[#All],15,FALSE),0)</f>
        <v>0</v>
      </c>
      <c r="BW46" s="25">
        <f>IF(Table1[[#This Row],[Adjusted_ULife_HP]]=12,VLOOKUP(Table1[[#This Row],[Item_Handpump]],[1]!Table2[#All],15,FALSE),0)</f>
        <v>0</v>
      </c>
      <c r="BX46" s="25">
        <f>IF(Table1[[#This Row],[Adjusted_ULife_PF]]=12,VLOOKUP(Table1[[#This Row],[Item_Platform]],[1]!Table2[#All],15,FALSE),0)</f>
        <v>0</v>
      </c>
      <c r="BY46" s="25">
        <f>SUM(Table1[[#This Row],[yr 12_wl]:[yr 12_pf]])</f>
        <v>0</v>
      </c>
      <c r="BZ46" s="25">
        <f>IF(Table1[[#This Row],[Years_Next_Rehab_Well]]=13,VLOOKUP(Table1[[#This Row],[Item_Rehab_WL]],[1]!Table2[#All],16,FALSE),0)</f>
        <v>0</v>
      </c>
      <c r="CA46" s="25">
        <f>IF(Table1[[#This Row],[Adjusted_ULife_HP]]=13,VLOOKUP(Table1[[#This Row],[Item_Handpump]],[1]!Table2[#All],16,FALSE),0)</f>
        <v>0</v>
      </c>
      <c r="CB46" s="25">
        <f>IF(Table1[[#This Row],[Adjusted_ULife_PF]]=13,VLOOKUP(Table1[[#This Row],[Item_Platform]],[1]!Table2[#All],16,FALSE),0)</f>
        <v>0</v>
      </c>
      <c r="CC46" s="25">
        <f>SUM(Table1[[#This Row],[yr 13_wl]:[yr 13_pf]])</f>
        <v>0</v>
      </c>
      <c r="CD46" s="12"/>
    </row>
    <row r="47" spans="1:82" s="11" customFormat="1" x14ac:dyDescent="0.25">
      <c r="A47" s="11" t="str">
        <f>IF([1]Input_monitoring_data!A43="","",[1]Input_monitoring_data!A43)</f>
        <v>7fb0-s5ua-wcu6</v>
      </c>
      <c r="B47" s="22" t="str">
        <f>[1]Input_monitoring_data!BH43</f>
        <v>Kenyasi No.2</v>
      </c>
      <c r="C47" s="22" t="str">
        <f>[1]Input_monitoring_data!BI43</f>
        <v>Ahonuso</v>
      </c>
      <c r="D47" s="22" t="str">
        <f>[1]Input_monitoring_data!P43</f>
        <v>7.060865344238724</v>
      </c>
      <c r="E47" s="22" t="str">
        <f>[1]Input_monitoring_data!Q43</f>
        <v>-2.393952192258899</v>
      </c>
      <c r="F47" s="22" t="str">
        <f>[1]Input_monitoring_data!V43</f>
        <v>Few Meters Frm The Park</v>
      </c>
      <c r="G47" s="23" t="str">
        <f>[1]Input_monitoring_data!U43</f>
        <v>Borehole</v>
      </c>
      <c r="H47" s="22">
        <f>[1]Input_monitoring_data!X43</f>
        <v>2006</v>
      </c>
      <c r="I47" s="21" t="str">
        <f>[1]Input_monitoring_data!AB43</f>
        <v>Borehole redevelopment</v>
      </c>
      <c r="J47" s="21">
        <f>[1]Input_monitoring_data!AC43</f>
        <v>0</v>
      </c>
      <c r="K47" s="23" t="str">
        <f>[1]Input_monitoring_data!W43</f>
        <v>AfriDev</v>
      </c>
      <c r="L47" s="22">
        <f>[1]Input_monitoring_data!X43</f>
        <v>2006</v>
      </c>
      <c r="M47" s="21">
        <f>IF([1]Input_monitoring_data!BL43&gt;'Point Sources_Asset_Register_'!L47,[1]Input_monitoring_data!BL43,"")</f>
        <v>2014</v>
      </c>
      <c r="N47" s="22" t="str">
        <f>[1]Input_monitoring_data!BQ43</f>
        <v>No repeat</v>
      </c>
      <c r="O47" s="22">
        <f>[1]Input_monitoring_data!AJ43</f>
        <v>0</v>
      </c>
      <c r="P47" s="23" t="s">
        <v>0</v>
      </c>
      <c r="Q47" s="22">
        <f>L47</f>
        <v>2006</v>
      </c>
      <c r="R47" s="21">
        <f>M47</f>
        <v>2014</v>
      </c>
      <c r="S47" s="20">
        <f>[1]Input_EUL_CRC_ERC!$B$17-Table1[[#This Row],[Year Installed_WL]]</f>
        <v>11</v>
      </c>
      <c r="T47" s="20">
        <f>[1]Input_EUL_CRC_ERC!$B$17-(IF(Table1[[#This Row],[Year Last_Rehab_WL ]]=0,Table1[[#This Row],[Year Installed_WL]],[1]Input_EUL_CRC_ERC!$B$17-Table1[[#This Row],[Year Last_Rehab_WL ]]))</f>
        <v>11</v>
      </c>
      <c r="U47" s="20">
        <f>(VLOOKUP(Table1[[#This Row],[Item_Rehab_WL]],[1]Input_EUL_CRC_ERC!$C$17:$E$27,2,FALSE)-Table1[[#This Row],[Last Rehab Age]])</f>
        <v>4</v>
      </c>
      <c r="V47" s="19">
        <f>[1]Input_EUL_CRC_ERC!$B$17-Table1[[#This Row],[Year Installed_HP]]</f>
        <v>11</v>
      </c>
      <c r="W47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47" s="19">
        <f>[1]Input_EUL_CRC_ERC!$B$17-Table1[[#This Row],[Year Installed_PF]]</f>
        <v>11</v>
      </c>
      <c r="Y47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47" s="25">
        <f>IF(Table1[[#This Row],[Years_Next_Rehab_Well]]&lt;=0,VLOOKUP(Table1[[#This Row],[Item_Rehab_WL]],[1]!Table2[#All],3,FALSE),0)</f>
        <v>0</v>
      </c>
      <c r="AA47" s="18">
        <f>IF(Table1[[#This Row],[Adjusted_ULife_HP]]&lt;=0,VLOOKUP(Table1[[#This Row],[Item_Handpump]],[1]!Table2[#All],3,FALSE),0)</f>
        <v>0</v>
      </c>
      <c r="AB47" s="18">
        <f>IF(Table1[[#This Row],[Adjusted_ULife_PF]]&lt;=0,VLOOKUP(Table1[[#This Row],[Item_Platform]],[1]!Table2[#All],3,FALSE),0)</f>
        <v>0</v>
      </c>
      <c r="AC47" s="18">
        <f>SUM(Table1[[#This Row],[current yr_wl]:[current yr_pf]])</f>
        <v>0</v>
      </c>
      <c r="AD47" s="25">
        <f>IF(Table1[[#This Row],[Years_Next_Rehab_Well]]=1,VLOOKUP(Table1[[#This Row],[Item_Rehab_WL]],[1]!Table2[#All],4,FALSE),0)</f>
        <v>0</v>
      </c>
      <c r="AE47" s="25">
        <f>IF(Table1[[#This Row],[Adjusted_ULife_HP]]=1,VLOOKUP(Table1[[#This Row],[Item_Handpump]],[1]!Table2[#All],4,FALSE),0)</f>
        <v>0</v>
      </c>
      <c r="AF47" s="25">
        <f>IF(Table1[[#This Row],[Adjusted_ULife_PF]]=1,VLOOKUP(Table1[[#This Row],[Item_Platform]],[1]!Table2[#All],4,FALSE),0)</f>
        <v>0</v>
      </c>
      <c r="AG47" s="25">
        <f>SUM(Table1[[#This Row],[yr 1_wl]:[yr 1_pf]])</f>
        <v>0</v>
      </c>
      <c r="AH47" s="25">
        <f>IF(Table1[[#This Row],[Years_Next_Rehab_Well]]=2,VLOOKUP(Table1[[#This Row],[Item_Rehab_WL]],[1]!Table2[#All],5,FALSE),0)</f>
        <v>0</v>
      </c>
      <c r="AI47" s="25">
        <f>IF(Table1[[#This Row],[Adjusted_ULife_HP]]=2,VLOOKUP(Table1[[#This Row],[Item_Handpump]],[1]!Table2[#All],5,FALSE),0)</f>
        <v>0</v>
      </c>
      <c r="AJ47" s="25">
        <f>IF(Table1[[#This Row],[Adjusted_ULife_PF]]=2,VLOOKUP(Table1[[#This Row],[Item_Platform]],[1]!Table2[#All],5,FALSE),0)</f>
        <v>0</v>
      </c>
      <c r="AK47" s="25">
        <f>SUM(Table1[[#This Row],[yr 2_wl]:[yr 2_pf]])</f>
        <v>0</v>
      </c>
      <c r="AL47" s="25">
        <f>IF(Table1[[#This Row],[Years_Next_Rehab_Well]]=3,VLOOKUP(Table1[[#This Row],[Item_Rehab_WL]],[1]!Table2[#All],6,FALSE),0)</f>
        <v>0</v>
      </c>
      <c r="AM47" s="25">
        <f>IF(Table1[[#This Row],[Adjusted_ULife_HP]]=3,VLOOKUP(Table1[[#This Row],[Item_Handpump]],[1]!Table2[#All],6,FALSE),0)</f>
        <v>0</v>
      </c>
      <c r="AN47" s="25">
        <f>IF(Table1[[#This Row],[Adjusted_ULife_PF]]=3,VLOOKUP(Table1[[#This Row],[Item_Platform]],[1]!Table2[#All],6,FALSE),0)</f>
        <v>0</v>
      </c>
      <c r="AO47" s="25">
        <f>SUM(Table1[[#This Row],[yr 3_wl]:[yr 3_pf]])</f>
        <v>0</v>
      </c>
      <c r="AP47" s="25">
        <f>IF(Table1[[#This Row],[Years_Next_Rehab_Well]]=4,VLOOKUP(Table1[[#This Row],[Item_Rehab_WL]],[1]!Table2[#All],7,FALSE),0)</f>
        <v>5769.5709866666684</v>
      </c>
      <c r="AQ47" s="25">
        <f>IF(Table1[[#This Row],[Adjusted_ULife_HP]]=4,VLOOKUP(Table1[[#This Row],[Item_Handpump]],[1]!Table2[#All],7,FALSE),0)</f>
        <v>0</v>
      </c>
      <c r="AR47" s="25">
        <f>IF(Table1[[#This Row],[Adjusted_ULife_PF]]=4,VLOOKUP(Table1[[#This Row],[Item_Platform]],[1]!Table2[#All],7,FALSE),0)</f>
        <v>0</v>
      </c>
      <c r="AS47" s="25">
        <f>SUM(Table1[[#This Row],[yr 4_wl]:[yr 4_pf]])</f>
        <v>5769.5709866666684</v>
      </c>
      <c r="AT47" s="25">
        <f>IF(Table1[[#This Row],[Years_Next_Rehab_Well]]=5,VLOOKUP(Table1[[#This Row],[Item_Rehab_WL]],[1]!Table2[#All],8,FALSE),0)</f>
        <v>0</v>
      </c>
      <c r="AU47" s="25">
        <f>IF(Table1[[#This Row],[Adjusted_ULife_HP]]=5,VLOOKUP(Table1[[#This Row],[Item_Handpump]],[1]!Table2[#All],8,FALSE),0)</f>
        <v>0</v>
      </c>
      <c r="AV47" s="25">
        <f>IF(Table1[[#This Row],[Adjusted_ULife_PF]]=5,VLOOKUP(Table1[[#This Row],[Item_Platform]],[1]!Table2[#All],8,FALSE),0)</f>
        <v>0</v>
      </c>
      <c r="AW47" s="25">
        <f>SUM(Table1[[#This Row],[yr 5_wl]:[yr 5_pf]])</f>
        <v>0</v>
      </c>
      <c r="AX47" s="25">
        <f>IF(Table1[[#This Row],[Years_Next_Rehab_Well]]=6,VLOOKUP(Table1[[#This Row],[Item_Rehab_WL]],[1]!Table2[#All],9,FALSE),0)</f>
        <v>0</v>
      </c>
      <c r="AY47" s="25">
        <f>IF(Table1[[#This Row],[Adjusted_ULife_HP]]=6,VLOOKUP(Table1[[#This Row],[Item_Handpump]],[1]!Table2[#All],9,FALSE),0)</f>
        <v>0</v>
      </c>
      <c r="AZ47" s="25">
        <f>IF(Table1[[#This Row],[Adjusted_ULife_PF]]=6,VLOOKUP(Table1[[#This Row],[Item_Platform]],[1]!Table2[#All],9,FALSE),0)</f>
        <v>0</v>
      </c>
      <c r="BA47" s="25">
        <f>SUM(Table1[[#This Row],[yr 6_wl]:[yr 6_pf]])</f>
        <v>0</v>
      </c>
      <c r="BB47" s="25">
        <f>IF(Table1[[#This Row],[Years_Next_Rehab_Well]]=7,VLOOKUP(Table1[[#This Row],[Item_Rehab_WL]],[1]!Table2[#All],10,FALSE),0)</f>
        <v>0</v>
      </c>
      <c r="BC47" s="25">
        <f>IF(Table1[[#This Row],[Adjusted_ULife_HP]]=7,VLOOKUP(Table1[[#This Row],[Item_Handpump]],[1]!Table2[#All],10,FALSE),0)</f>
        <v>0</v>
      </c>
      <c r="BD47" s="25">
        <f>IF(Table1[[#This Row],[Adjusted_ULife_PF]]=7,VLOOKUP(Table1[[#This Row],[Item_Platform]],[1]!Table2[#All],10,FALSE),0)</f>
        <v>3316.0221111091228</v>
      </c>
      <c r="BE47" s="25">
        <f>SUM(Table1[[#This Row],[yr 7_wl]:[yr 7_pf]])</f>
        <v>3316.0221111091228</v>
      </c>
      <c r="BF47" s="25">
        <f>IF(Table1[[#This Row],[Years_Next_Rehab_Well]]=8,VLOOKUP(Table1[[#This Row],[Item_Rehab_WL]],[1]!Table2[#All],11,FALSE),0)</f>
        <v>0</v>
      </c>
      <c r="BG47" s="25">
        <f>IF(Table1[[#This Row],[Adjusted_ULife_HP]]=8,VLOOKUP(Table1[[#This Row],[Item_Handpump]],[1]!Table2[#All],11,FALSE),0)</f>
        <v>0</v>
      </c>
      <c r="BH47" s="25">
        <f>IF(Table1[[#This Row],[Adjusted_ULife_PF]]=8,VLOOKUP(Table1[[#This Row],[Item_Platform]],[1]!Table2[#All],11,FALSE),0)</f>
        <v>0</v>
      </c>
      <c r="BI47" s="25">
        <f>SUM(Table1[[#This Row],[yr 8_wl]:[yr 8_pf]])</f>
        <v>0</v>
      </c>
      <c r="BJ47" s="25">
        <f>IF(Table1[[#This Row],[Years_Next_Rehab_Well]]=9,VLOOKUP(Table1[[#This Row],[Item_Rehab_WL]],[1]!Table2[#All],12,FALSE),0)</f>
        <v>0</v>
      </c>
      <c r="BK47" s="25">
        <f>IF(Table1[[#This Row],[Adjusted_ULife_HP]]=9,VLOOKUP(Table1[[#This Row],[Item_Handpump]],[1]!Table2[#All],12,FALSE),0)</f>
        <v>0</v>
      </c>
      <c r="BL47" s="25">
        <f>IF(Table1[[#This Row],[Adjusted_ULife_PF]]=9,VLOOKUP(Table1[[#This Row],[Item_Platform]],[1]!Table2[#All],12,FALSE),0)</f>
        <v>0</v>
      </c>
      <c r="BM47" s="25">
        <f>SUM(Table1[[#This Row],[yr 9_wl]:[yr 9_pf]])</f>
        <v>0</v>
      </c>
      <c r="BN47" s="25">
        <f>IF(Table1[[#This Row],[Years_Next_Rehab_Well]]=10,VLOOKUP(Table1[[#This Row],[Item_Rehab_WL]],[1]!Table2[#All],13,FALSE),0)</f>
        <v>0</v>
      </c>
      <c r="BO47" s="25">
        <f>IF(Table1[[#This Row],[Adjusted_ULife_HP]]=10,VLOOKUP(Table1[[#This Row],[Item_Handpump]],[1]!Table2[#All],13,FALSE),0)</f>
        <v>0</v>
      </c>
      <c r="BP47" s="25">
        <f>IF(Table1[[#This Row],[Adjusted_ULife_PF]]=10,VLOOKUP(Table1[[#This Row],[Item_Platform]],[1]!Table2[#All],13,FALSE),0)</f>
        <v>0</v>
      </c>
      <c r="BQ47" s="25">
        <f>SUM(Table1[[#This Row],[yr 10_wl]:[yr 10_pf]])</f>
        <v>0</v>
      </c>
      <c r="BR47" s="25">
        <f>IF(Table1[[#This Row],[Years_Next_Rehab_Well]]=11,VLOOKUP(Table1[[#This Row],[Item_Rehab_WL]],[1]!Table2[#All],14,FALSE),0)</f>
        <v>0</v>
      </c>
      <c r="BS47" s="25">
        <f>IF(Table1[[#This Row],[Adjusted_ULife_HP]]=11,VLOOKUP(Table1[[#This Row],[Item_Handpump]],[1]!Table2[#All],14,FALSE),0)</f>
        <v>0</v>
      </c>
      <c r="BT47" s="25">
        <f>IF(Table1[[#This Row],[Adjusted_ULife_PF]]=11,VLOOKUP(Table1[[#This Row],[Item_Platform]],[1]!Table2[#All],14,FALSE),0)</f>
        <v>0</v>
      </c>
      <c r="BU47" s="25">
        <f>SUM(Table1[[#This Row],[yr 11_wl]:[yr 11_pf]])</f>
        <v>0</v>
      </c>
      <c r="BV47" s="25">
        <f>IF(Table1[[#This Row],[Years_Next_Rehab_Well]]=12,VLOOKUP(Table1[[#This Row],[Item_Rehab_WL]],[1]!Table2[#All],15,FALSE),0)</f>
        <v>0</v>
      </c>
      <c r="BW47" s="25">
        <f>IF(Table1[[#This Row],[Adjusted_ULife_HP]]=12,VLOOKUP(Table1[[#This Row],[Item_Handpump]],[1]!Table2[#All],15,FALSE),0)</f>
        <v>0</v>
      </c>
      <c r="BX47" s="25">
        <f>IF(Table1[[#This Row],[Adjusted_ULife_PF]]=12,VLOOKUP(Table1[[#This Row],[Item_Platform]],[1]!Table2[#All],15,FALSE),0)</f>
        <v>0</v>
      </c>
      <c r="BY47" s="25">
        <f>SUM(Table1[[#This Row],[yr 12_wl]:[yr 12_pf]])</f>
        <v>0</v>
      </c>
      <c r="BZ47" s="25">
        <f>IF(Table1[[#This Row],[Years_Next_Rehab_Well]]=13,VLOOKUP(Table1[[#This Row],[Item_Rehab_WL]],[1]!Table2[#All],16,FALSE),0)</f>
        <v>0</v>
      </c>
      <c r="CA47" s="25">
        <f>IF(Table1[[#This Row],[Adjusted_ULife_HP]]=13,VLOOKUP(Table1[[#This Row],[Item_Handpump]],[1]!Table2[#All],16,FALSE),0)</f>
        <v>0</v>
      </c>
      <c r="CB47" s="25">
        <f>IF(Table1[[#This Row],[Adjusted_ULife_PF]]=13,VLOOKUP(Table1[[#This Row],[Item_Platform]],[1]!Table2[#All],16,FALSE),0)</f>
        <v>0</v>
      </c>
      <c r="CC47" s="25">
        <f>SUM(Table1[[#This Row],[yr 13_wl]:[yr 13_pf]])</f>
        <v>0</v>
      </c>
      <c r="CD47" s="12"/>
    </row>
    <row r="48" spans="1:82" s="11" customFormat="1" x14ac:dyDescent="0.25">
      <c r="A48" s="11" t="str">
        <f>IF([1]Input_monitoring_data!A44="","",[1]Input_monitoring_data!A44)</f>
        <v>7h8g-w1kv-4kbd</v>
      </c>
      <c r="B48" s="22" t="str">
        <f>[1]Input_monitoring_data!BH44</f>
        <v>KENYASI NO.2</v>
      </c>
      <c r="C48" s="22" t="str">
        <f>[1]Input_monitoring_data!BI44</f>
        <v>KENYASI NO.2</v>
      </c>
      <c r="D48" s="22" t="str">
        <f>[1]Input_monitoring_data!P44</f>
        <v>7.01810694146569</v>
      </c>
      <c r="E48" s="22" t="str">
        <f>[1]Input_monitoring_data!Q44</f>
        <v>-2.370664522418885</v>
      </c>
      <c r="F48" s="22" t="str">
        <f>[1]Input_monitoring_data!V44</f>
        <v>near adowas plaintain farm (Ananekrom)</v>
      </c>
      <c r="G48" s="23" t="str">
        <f>[1]Input_monitoring_data!U44</f>
        <v>Borehole</v>
      </c>
      <c r="H48" s="22">
        <f>[1]Input_monitoring_data!X44</f>
        <v>2015</v>
      </c>
      <c r="I48" s="21" t="str">
        <f>[1]Input_monitoring_data!AB44</f>
        <v>Borehole redevelopment</v>
      </c>
      <c r="J48" s="21">
        <f>[1]Input_monitoring_data!AC44</f>
        <v>0</v>
      </c>
      <c r="K48" s="23" t="str">
        <f>[1]Input_monitoring_data!W44</f>
        <v>AfriDev</v>
      </c>
      <c r="L48" s="22">
        <f>[1]Input_monitoring_data!X44</f>
        <v>2015</v>
      </c>
      <c r="M48" s="21" t="str">
        <f>IF([1]Input_monitoring_data!BL44&gt;'Point Sources_Asset_Register_'!L48,[1]Input_monitoring_data!BL44,"")</f>
        <v/>
      </c>
      <c r="N48" s="22" t="str">
        <f>[1]Input_monitoring_data!BQ44</f>
        <v>functional</v>
      </c>
      <c r="O48" s="22">
        <f>[1]Input_monitoring_data!AJ44</f>
        <v>0</v>
      </c>
      <c r="P48" s="23" t="s">
        <v>0</v>
      </c>
      <c r="Q48" s="22">
        <f>L48</f>
        <v>2015</v>
      </c>
      <c r="R48" s="21" t="str">
        <f>M48</f>
        <v/>
      </c>
      <c r="S48" s="20">
        <f>[1]Input_EUL_CRC_ERC!$B$17-Table1[[#This Row],[Year Installed_WL]]</f>
        <v>2</v>
      </c>
      <c r="T48" s="20">
        <f>[1]Input_EUL_CRC_ERC!$B$17-(IF(Table1[[#This Row],[Year Last_Rehab_WL ]]=0,Table1[[#This Row],[Year Installed_WL]],[1]Input_EUL_CRC_ERC!$B$17-Table1[[#This Row],[Year Last_Rehab_WL ]]))</f>
        <v>2</v>
      </c>
      <c r="U48" s="20">
        <f>(VLOOKUP(Table1[[#This Row],[Item_Rehab_WL]],[1]Input_EUL_CRC_ERC!$C$17:$E$27,2,FALSE)-Table1[[#This Row],[Last Rehab Age]])</f>
        <v>13</v>
      </c>
      <c r="V48" s="19">
        <f>[1]Input_EUL_CRC_ERC!$B$17-Table1[[#This Row],[Year Installed_HP]]</f>
        <v>2</v>
      </c>
      <c r="W48" s="19">
        <f>(VLOOKUP(Table1[[#This Row],[Item_Handpump]],[1]!Table2[#All],2,FALSE))-(IF(Table1[[#This Row],[Year Last_Rehab_HP]]="",Table1[[#This Row],[Current Age_Handpump]],[1]Input_EUL_CRC_ERC!$B$17-Table1[[#This Row],[Year Last_Rehab_HP]]))</f>
        <v>18</v>
      </c>
      <c r="X48" s="19">
        <f>[1]Input_EUL_CRC_ERC!$B$17-Table1[[#This Row],[Year Installed_PF]]</f>
        <v>2</v>
      </c>
      <c r="Y48" s="19">
        <f>(VLOOKUP(Table1[[#This Row],[Item_Platform]],[1]!Table2[#All],2,FALSE))-(IF(Table1[[#This Row],[Year Last_Rehab_PF]]="",Table1[[#This Row],[Current Age_Platform]],[1]Input_EUL_CRC_ERC!$B$17-Table1[[#This Row],[Year Last_Rehab_PF]]))</f>
        <v>8</v>
      </c>
      <c r="Z48" s="25">
        <f>IF(Table1[[#This Row],[Years_Next_Rehab_Well]]&lt;=0,VLOOKUP(Table1[[#This Row],[Item_Rehab_WL]],[1]!Table2[#All],3,FALSE),0)</f>
        <v>0</v>
      </c>
      <c r="AA48" s="18">
        <f>IF(Table1[[#This Row],[Adjusted_ULife_HP]]&lt;=0,VLOOKUP(Table1[[#This Row],[Item_Handpump]],[1]!Table2[#All],3,FALSE),0)</f>
        <v>0</v>
      </c>
      <c r="AB48" s="18">
        <f>IF(Table1[[#This Row],[Adjusted_ULife_PF]]&lt;=0,VLOOKUP(Table1[[#This Row],[Item_Platform]],[1]!Table2[#All],3,FALSE),0)</f>
        <v>0</v>
      </c>
      <c r="AC48" s="18">
        <f>SUM(Table1[[#This Row],[current yr_wl]:[current yr_pf]])</f>
        <v>0</v>
      </c>
      <c r="AD48" s="25">
        <f>IF(Table1[[#This Row],[Years_Next_Rehab_Well]]=1,VLOOKUP(Table1[[#This Row],[Item_Rehab_WL]],[1]!Table2[#All],4,FALSE),0)</f>
        <v>0</v>
      </c>
      <c r="AE48" s="25">
        <f>IF(Table1[[#This Row],[Adjusted_ULife_HP]]=1,VLOOKUP(Table1[[#This Row],[Item_Handpump]],[1]!Table2[#All],4,FALSE),0)</f>
        <v>0</v>
      </c>
      <c r="AF48" s="25">
        <f>IF(Table1[[#This Row],[Adjusted_ULife_PF]]=1,VLOOKUP(Table1[[#This Row],[Item_Platform]],[1]!Table2[#All],4,FALSE),0)</f>
        <v>0</v>
      </c>
      <c r="AG48" s="25">
        <f>SUM(Table1[[#This Row],[yr 1_wl]:[yr 1_pf]])</f>
        <v>0</v>
      </c>
      <c r="AH48" s="25">
        <f>IF(Table1[[#This Row],[Years_Next_Rehab_Well]]=2,VLOOKUP(Table1[[#This Row],[Item_Rehab_WL]],[1]!Table2[#All],5,FALSE),0)</f>
        <v>0</v>
      </c>
      <c r="AI48" s="25">
        <f>IF(Table1[[#This Row],[Adjusted_ULife_HP]]=2,VLOOKUP(Table1[[#This Row],[Item_Handpump]],[1]!Table2[#All],5,FALSE),0)</f>
        <v>0</v>
      </c>
      <c r="AJ48" s="25">
        <f>IF(Table1[[#This Row],[Adjusted_ULife_PF]]=2,VLOOKUP(Table1[[#This Row],[Item_Platform]],[1]!Table2[#All],5,FALSE),0)</f>
        <v>0</v>
      </c>
      <c r="AK48" s="25">
        <f>SUM(Table1[[#This Row],[yr 2_wl]:[yr 2_pf]])</f>
        <v>0</v>
      </c>
      <c r="AL48" s="25">
        <f>IF(Table1[[#This Row],[Years_Next_Rehab_Well]]=3,VLOOKUP(Table1[[#This Row],[Item_Rehab_WL]],[1]!Table2[#All],6,FALSE),0)</f>
        <v>0</v>
      </c>
      <c r="AM48" s="25">
        <f>IF(Table1[[#This Row],[Adjusted_ULife_HP]]=3,VLOOKUP(Table1[[#This Row],[Item_Handpump]],[1]!Table2[#All],6,FALSE),0)</f>
        <v>0</v>
      </c>
      <c r="AN48" s="25">
        <f>IF(Table1[[#This Row],[Adjusted_ULife_PF]]=3,VLOOKUP(Table1[[#This Row],[Item_Platform]],[1]!Table2[#All],6,FALSE),0)</f>
        <v>0</v>
      </c>
      <c r="AO48" s="25">
        <f>SUM(Table1[[#This Row],[yr 3_wl]:[yr 3_pf]])</f>
        <v>0</v>
      </c>
      <c r="AP48" s="25">
        <f>IF(Table1[[#This Row],[Years_Next_Rehab_Well]]=4,VLOOKUP(Table1[[#This Row],[Item_Rehab_WL]],[1]!Table2[#All],7,FALSE),0)</f>
        <v>0</v>
      </c>
      <c r="AQ48" s="25">
        <f>IF(Table1[[#This Row],[Adjusted_ULife_HP]]=4,VLOOKUP(Table1[[#This Row],[Item_Handpump]],[1]!Table2[#All],7,FALSE),0)</f>
        <v>0</v>
      </c>
      <c r="AR48" s="25">
        <f>IF(Table1[[#This Row],[Adjusted_ULife_PF]]=4,VLOOKUP(Table1[[#This Row],[Item_Platform]],[1]!Table2[#All],7,FALSE),0)</f>
        <v>0</v>
      </c>
      <c r="AS48" s="25">
        <f>SUM(Table1[[#This Row],[yr 4_wl]:[yr 4_pf]])</f>
        <v>0</v>
      </c>
      <c r="AT48" s="25">
        <f>IF(Table1[[#This Row],[Years_Next_Rehab_Well]]=5,VLOOKUP(Table1[[#This Row],[Item_Rehab_WL]],[1]!Table2[#All],8,FALSE),0)</f>
        <v>0</v>
      </c>
      <c r="AU48" s="25">
        <f>IF(Table1[[#This Row],[Adjusted_ULife_HP]]=5,VLOOKUP(Table1[[#This Row],[Item_Handpump]],[1]!Table2[#All],8,FALSE),0)</f>
        <v>0</v>
      </c>
      <c r="AV48" s="25">
        <f>IF(Table1[[#This Row],[Adjusted_ULife_PF]]=5,VLOOKUP(Table1[[#This Row],[Item_Platform]],[1]!Table2[#All],8,FALSE),0)</f>
        <v>0</v>
      </c>
      <c r="AW48" s="25">
        <f>SUM(Table1[[#This Row],[yr 5_wl]:[yr 5_pf]])</f>
        <v>0</v>
      </c>
      <c r="AX48" s="25">
        <f>IF(Table1[[#This Row],[Years_Next_Rehab_Well]]=6,VLOOKUP(Table1[[#This Row],[Item_Rehab_WL]],[1]!Table2[#All],9,FALSE),0)</f>
        <v>0</v>
      </c>
      <c r="AY48" s="25">
        <f>IF(Table1[[#This Row],[Adjusted_ULife_HP]]=6,VLOOKUP(Table1[[#This Row],[Item_Handpump]],[1]!Table2[#All],9,FALSE),0)</f>
        <v>0</v>
      </c>
      <c r="AZ48" s="25">
        <f>IF(Table1[[#This Row],[Adjusted_ULife_PF]]=6,VLOOKUP(Table1[[#This Row],[Item_Platform]],[1]!Table2[#All],9,FALSE),0)</f>
        <v>0</v>
      </c>
      <c r="BA48" s="25">
        <f>SUM(Table1[[#This Row],[yr 6_wl]:[yr 6_pf]])</f>
        <v>0</v>
      </c>
      <c r="BB48" s="25">
        <f>IF(Table1[[#This Row],[Years_Next_Rehab_Well]]=7,VLOOKUP(Table1[[#This Row],[Item_Rehab_WL]],[1]!Table2[#All],10,FALSE),0)</f>
        <v>0</v>
      </c>
      <c r="BC48" s="25">
        <f>IF(Table1[[#This Row],[Adjusted_ULife_HP]]=7,VLOOKUP(Table1[[#This Row],[Item_Handpump]],[1]!Table2[#All],10,FALSE),0)</f>
        <v>0</v>
      </c>
      <c r="BD48" s="25">
        <f>IF(Table1[[#This Row],[Adjusted_ULife_PF]]=7,VLOOKUP(Table1[[#This Row],[Item_Platform]],[1]!Table2[#All],10,FALSE),0)</f>
        <v>0</v>
      </c>
      <c r="BE48" s="25">
        <f>SUM(Table1[[#This Row],[yr 7_wl]:[yr 7_pf]])</f>
        <v>0</v>
      </c>
      <c r="BF48" s="25">
        <f>IF(Table1[[#This Row],[Years_Next_Rehab_Well]]=8,VLOOKUP(Table1[[#This Row],[Item_Rehab_WL]],[1]!Table2[#All],11,FALSE),0)</f>
        <v>0</v>
      </c>
      <c r="BG48" s="25">
        <f>IF(Table1[[#This Row],[Adjusted_ULife_HP]]=8,VLOOKUP(Table1[[#This Row],[Item_Handpump]],[1]!Table2[#All],11,FALSE),0)</f>
        <v>0</v>
      </c>
      <c r="BH48" s="25">
        <f>IF(Table1[[#This Row],[Adjusted_ULife_PF]]=8,VLOOKUP(Table1[[#This Row],[Item_Platform]],[1]!Table2[#All],11,FALSE),0)</f>
        <v>3713.944764442218</v>
      </c>
      <c r="BI48" s="25">
        <f>SUM(Table1[[#This Row],[yr 8_wl]:[yr 8_pf]])</f>
        <v>3713.944764442218</v>
      </c>
      <c r="BJ48" s="25">
        <f>IF(Table1[[#This Row],[Years_Next_Rehab_Well]]=9,VLOOKUP(Table1[[#This Row],[Item_Rehab_WL]],[1]!Table2[#All],12,FALSE),0)</f>
        <v>0</v>
      </c>
      <c r="BK48" s="25">
        <f>IF(Table1[[#This Row],[Adjusted_ULife_HP]]=9,VLOOKUP(Table1[[#This Row],[Item_Handpump]],[1]!Table2[#All],12,FALSE),0)</f>
        <v>0</v>
      </c>
      <c r="BL48" s="25">
        <f>IF(Table1[[#This Row],[Adjusted_ULife_PF]]=9,VLOOKUP(Table1[[#This Row],[Item_Platform]],[1]!Table2[#All],12,FALSE),0)</f>
        <v>0</v>
      </c>
      <c r="BM48" s="25">
        <f>SUM(Table1[[#This Row],[yr 9_wl]:[yr 9_pf]])</f>
        <v>0</v>
      </c>
      <c r="BN48" s="25">
        <f>IF(Table1[[#This Row],[Years_Next_Rehab_Well]]=10,VLOOKUP(Table1[[#This Row],[Item_Rehab_WL]],[1]!Table2[#All],13,FALSE),0)</f>
        <v>0</v>
      </c>
      <c r="BO48" s="25">
        <f>IF(Table1[[#This Row],[Adjusted_ULife_HP]]=10,VLOOKUP(Table1[[#This Row],[Item_Handpump]],[1]!Table2[#All],13,FALSE),0)</f>
        <v>0</v>
      </c>
      <c r="BP48" s="25">
        <f>IF(Table1[[#This Row],[Adjusted_ULife_PF]]=10,VLOOKUP(Table1[[#This Row],[Item_Platform]],[1]!Table2[#All],13,FALSE),0)</f>
        <v>0</v>
      </c>
      <c r="BQ48" s="25">
        <f>SUM(Table1[[#This Row],[yr 10_wl]:[yr 10_pf]])</f>
        <v>0</v>
      </c>
      <c r="BR48" s="25">
        <f>IF(Table1[[#This Row],[Years_Next_Rehab_Well]]=11,VLOOKUP(Table1[[#This Row],[Item_Rehab_WL]],[1]!Table2[#All],14,FALSE),0)</f>
        <v>0</v>
      </c>
      <c r="BS48" s="25">
        <f>IF(Table1[[#This Row],[Adjusted_ULife_HP]]=11,VLOOKUP(Table1[[#This Row],[Item_Handpump]],[1]!Table2[#All],14,FALSE),0)</f>
        <v>0</v>
      </c>
      <c r="BT48" s="25">
        <f>IF(Table1[[#This Row],[Adjusted_ULife_PF]]=11,VLOOKUP(Table1[[#This Row],[Item_Platform]],[1]!Table2[#All],14,FALSE),0)</f>
        <v>0</v>
      </c>
      <c r="BU48" s="25">
        <f>SUM(Table1[[#This Row],[yr 11_wl]:[yr 11_pf]])</f>
        <v>0</v>
      </c>
      <c r="BV48" s="25">
        <f>IF(Table1[[#This Row],[Years_Next_Rehab_Well]]=12,VLOOKUP(Table1[[#This Row],[Item_Rehab_WL]],[1]!Table2[#All],15,FALSE),0)</f>
        <v>0</v>
      </c>
      <c r="BW48" s="25">
        <f>IF(Table1[[#This Row],[Adjusted_ULife_HP]]=12,VLOOKUP(Table1[[#This Row],[Item_Handpump]],[1]!Table2[#All],15,FALSE),0)</f>
        <v>0</v>
      </c>
      <c r="BX48" s="25">
        <f>IF(Table1[[#This Row],[Adjusted_ULife_PF]]=12,VLOOKUP(Table1[[#This Row],[Item_Platform]],[1]!Table2[#All],15,FALSE),0)</f>
        <v>0</v>
      </c>
      <c r="BY48" s="25">
        <f>SUM(Table1[[#This Row],[yr 12_wl]:[yr 12_pf]])</f>
        <v>0</v>
      </c>
      <c r="BZ48" s="25">
        <f>IF(Table1[[#This Row],[Years_Next_Rehab_Well]]=13,VLOOKUP(Table1[[#This Row],[Item_Rehab_WL]],[1]!Table2[#All],16,FALSE),0)</f>
        <v>15999.474742726268</v>
      </c>
      <c r="CA48" s="25">
        <f>IF(Table1[[#This Row],[Adjusted_ULife_HP]]=13,VLOOKUP(Table1[[#This Row],[Item_Handpump]],[1]!Table2[#All],16,FALSE),0)</f>
        <v>0</v>
      </c>
      <c r="CB48" s="25">
        <f>IF(Table1[[#This Row],[Adjusted_ULife_PF]]=13,VLOOKUP(Table1[[#This Row],[Item_Platform]],[1]!Table2[#All],16,FALSE),0)</f>
        <v>0</v>
      </c>
      <c r="CC48" s="25">
        <f>SUM(Table1[[#This Row],[yr 13_wl]:[yr 13_pf]])</f>
        <v>15999.474742726268</v>
      </c>
      <c r="CD48" s="12"/>
    </row>
    <row r="49" spans="1:82" s="11" customFormat="1" x14ac:dyDescent="0.25">
      <c r="A49" s="11" t="str">
        <f>IF([1]Input_monitoring_data!A45="","",[1]Input_monitoring_data!A45)</f>
        <v>7hfv-a3bt-0ev8</v>
      </c>
      <c r="B49" s="22" t="str">
        <f>[1]Input_monitoring_data!BH45</f>
        <v>Kenyasi No.2</v>
      </c>
      <c r="C49" s="22" t="str">
        <f>[1]Input_monitoring_data!BI45</f>
        <v>Akosua Addaikrom</v>
      </c>
      <c r="D49" s="22" t="str">
        <f>[1]Input_monitoring_data!P45</f>
        <v>7.057107659925446</v>
      </c>
      <c r="E49" s="22" t="str">
        <f>[1]Input_monitoring_data!Q45</f>
        <v>-2.400007678834221</v>
      </c>
      <c r="F49" s="22" t="str">
        <f>[1]Input_monitoring_data!V45</f>
        <v>Agya Mensah Coaco Farm</v>
      </c>
      <c r="G49" s="23" t="str">
        <f>[1]Input_monitoring_data!U45</f>
        <v>Borehole</v>
      </c>
      <c r="H49" s="22">
        <f>[1]Input_monitoring_data!X45</f>
        <v>2007</v>
      </c>
      <c r="I49" s="21" t="str">
        <f>[1]Input_monitoring_data!AB45</f>
        <v>Borehole redevelopment</v>
      </c>
      <c r="J49" s="21">
        <f>[1]Input_monitoring_data!AC45</f>
        <v>0</v>
      </c>
      <c r="K49" s="23" t="str">
        <f>[1]Input_monitoring_data!W45</f>
        <v>AfriDev</v>
      </c>
      <c r="L49" s="22">
        <f>[1]Input_monitoring_data!X45</f>
        <v>2007</v>
      </c>
      <c r="M49" s="21" t="str">
        <f>IF([1]Input_monitoring_data!BL45&gt;'Point Sources_Asset_Register_'!L49,[1]Input_monitoring_data!BL45,"")</f>
        <v/>
      </c>
      <c r="N49" s="22" t="str">
        <f>[1]Input_monitoring_data!BQ45</f>
        <v>functional</v>
      </c>
      <c r="O49" s="22">
        <f>[1]Input_monitoring_data!AJ45</f>
        <v>0</v>
      </c>
      <c r="P49" s="23" t="s">
        <v>0</v>
      </c>
      <c r="Q49" s="22">
        <f>L49</f>
        <v>2007</v>
      </c>
      <c r="R49" s="21" t="str">
        <f>M49</f>
        <v/>
      </c>
      <c r="S49" s="20">
        <f>[1]Input_EUL_CRC_ERC!$B$17-Table1[[#This Row],[Year Installed_WL]]</f>
        <v>10</v>
      </c>
      <c r="T49" s="20">
        <f>[1]Input_EUL_CRC_ERC!$B$17-(IF(Table1[[#This Row],[Year Last_Rehab_WL ]]=0,Table1[[#This Row],[Year Installed_WL]],[1]Input_EUL_CRC_ERC!$B$17-Table1[[#This Row],[Year Last_Rehab_WL ]]))</f>
        <v>10</v>
      </c>
      <c r="U49" s="20">
        <f>(VLOOKUP(Table1[[#This Row],[Item_Rehab_WL]],[1]Input_EUL_CRC_ERC!$C$17:$E$27,2,FALSE)-Table1[[#This Row],[Last Rehab Age]])</f>
        <v>5</v>
      </c>
      <c r="V49" s="19">
        <f>[1]Input_EUL_CRC_ERC!$B$17-Table1[[#This Row],[Year Installed_HP]]</f>
        <v>10</v>
      </c>
      <c r="W49" s="19">
        <f>(VLOOKUP(Table1[[#This Row],[Item_Handpump]],[1]!Table2[#All],2,FALSE))-(IF(Table1[[#This Row],[Year Last_Rehab_HP]]="",Table1[[#This Row],[Current Age_Handpump]],[1]Input_EUL_CRC_ERC!$B$17-Table1[[#This Row],[Year Last_Rehab_HP]]))</f>
        <v>10</v>
      </c>
      <c r="X49" s="19">
        <f>[1]Input_EUL_CRC_ERC!$B$17-Table1[[#This Row],[Year Installed_PF]]</f>
        <v>10</v>
      </c>
      <c r="Y49" s="19">
        <f>(VLOOKUP(Table1[[#This Row],[Item_Platform]],[1]!Table2[#All],2,FALSE))-(IF(Table1[[#This Row],[Year Last_Rehab_PF]]="",Table1[[#This Row],[Current Age_Platform]],[1]Input_EUL_CRC_ERC!$B$17-Table1[[#This Row],[Year Last_Rehab_PF]]))</f>
        <v>0</v>
      </c>
      <c r="Z49" s="25">
        <f>IF(Table1[[#This Row],[Years_Next_Rehab_Well]]&lt;=0,VLOOKUP(Table1[[#This Row],[Item_Rehab_WL]],[1]!Table2[#All],3,FALSE),0)</f>
        <v>0</v>
      </c>
      <c r="AA49" s="18">
        <f>IF(Table1[[#This Row],[Adjusted_ULife_HP]]&lt;=0,VLOOKUP(Table1[[#This Row],[Item_Handpump]],[1]!Table2[#All],3,FALSE),0)</f>
        <v>0</v>
      </c>
      <c r="AB49" s="18">
        <f>IF(Table1[[#This Row],[Adjusted_ULife_PF]]&lt;=0,VLOOKUP(Table1[[#This Row],[Item_Platform]],[1]!Table2[#All],3,FALSE),0)</f>
        <v>1500</v>
      </c>
      <c r="AC49" s="18">
        <f>SUM(Table1[[#This Row],[current yr_wl]:[current yr_pf]])</f>
        <v>1500</v>
      </c>
      <c r="AD49" s="25">
        <f>IF(Table1[[#This Row],[Years_Next_Rehab_Well]]=1,VLOOKUP(Table1[[#This Row],[Item_Rehab_WL]],[1]!Table2[#All],4,FALSE),0)</f>
        <v>0</v>
      </c>
      <c r="AE49" s="25">
        <f>IF(Table1[[#This Row],[Adjusted_ULife_HP]]=1,VLOOKUP(Table1[[#This Row],[Item_Handpump]],[1]!Table2[#All],4,FALSE),0)</f>
        <v>0</v>
      </c>
      <c r="AF49" s="25">
        <f>IF(Table1[[#This Row],[Adjusted_ULife_PF]]=1,VLOOKUP(Table1[[#This Row],[Item_Platform]],[1]!Table2[#All],4,FALSE),0)</f>
        <v>0</v>
      </c>
      <c r="AG49" s="25">
        <f>SUM(Table1[[#This Row],[yr 1_wl]:[yr 1_pf]])</f>
        <v>0</v>
      </c>
      <c r="AH49" s="25">
        <f>IF(Table1[[#This Row],[Years_Next_Rehab_Well]]=2,VLOOKUP(Table1[[#This Row],[Item_Rehab_WL]],[1]!Table2[#All],5,FALSE),0)</f>
        <v>0</v>
      </c>
      <c r="AI49" s="25">
        <f>IF(Table1[[#This Row],[Adjusted_ULife_HP]]=2,VLOOKUP(Table1[[#This Row],[Item_Handpump]],[1]!Table2[#All],5,FALSE),0)</f>
        <v>0</v>
      </c>
      <c r="AJ49" s="25">
        <f>IF(Table1[[#This Row],[Adjusted_ULife_PF]]=2,VLOOKUP(Table1[[#This Row],[Item_Platform]],[1]!Table2[#All],5,FALSE),0)</f>
        <v>0</v>
      </c>
      <c r="AK49" s="25">
        <f>SUM(Table1[[#This Row],[yr 2_wl]:[yr 2_pf]])</f>
        <v>0</v>
      </c>
      <c r="AL49" s="25">
        <f>IF(Table1[[#This Row],[Years_Next_Rehab_Well]]=3,VLOOKUP(Table1[[#This Row],[Item_Rehab_WL]],[1]!Table2[#All],6,FALSE),0)</f>
        <v>0</v>
      </c>
      <c r="AM49" s="25">
        <f>IF(Table1[[#This Row],[Adjusted_ULife_HP]]=3,VLOOKUP(Table1[[#This Row],[Item_Handpump]],[1]!Table2[#All],6,FALSE),0)</f>
        <v>0</v>
      </c>
      <c r="AN49" s="25">
        <f>IF(Table1[[#This Row],[Adjusted_ULife_PF]]=3,VLOOKUP(Table1[[#This Row],[Item_Platform]],[1]!Table2[#All],6,FALSE),0)</f>
        <v>0</v>
      </c>
      <c r="AO49" s="25">
        <f>SUM(Table1[[#This Row],[yr 3_wl]:[yr 3_pf]])</f>
        <v>0</v>
      </c>
      <c r="AP49" s="25">
        <f>IF(Table1[[#This Row],[Years_Next_Rehab_Well]]=4,VLOOKUP(Table1[[#This Row],[Item_Rehab_WL]],[1]!Table2[#All],7,FALSE),0)</f>
        <v>0</v>
      </c>
      <c r="AQ49" s="25">
        <f>IF(Table1[[#This Row],[Adjusted_ULife_HP]]=4,VLOOKUP(Table1[[#This Row],[Item_Handpump]],[1]!Table2[#All],7,FALSE),0)</f>
        <v>0</v>
      </c>
      <c r="AR49" s="25">
        <f>IF(Table1[[#This Row],[Adjusted_ULife_PF]]=4,VLOOKUP(Table1[[#This Row],[Item_Platform]],[1]!Table2[#All],7,FALSE),0)</f>
        <v>0</v>
      </c>
      <c r="AS49" s="25">
        <f>SUM(Table1[[#This Row],[yr 4_wl]:[yr 4_pf]])</f>
        <v>0</v>
      </c>
      <c r="AT49" s="25">
        <f>IF(Table1[[#This Row],[Years_Next_Rehab_Well]]=5,VLOOKUP(Table1[[#This Row],[Item_Rehab_WL]],[1]!Table2[#All],8,FALSE),0)</f>
        <v>6461.9195050666694</v>
      </c>
      <c r="AU49" s="25">
        <f>IF(Table1[[#This Row],[Adjusted_ULife_HP]]=5,VLOOKUP(Table1[[#This Row],[Item_Handpump]],[1]!Table2[#All],8,FALSE),0)</f>
        <v>0</v>
      </c>
      <c r="AV49" s="25">
        <f>IF(Table1[[#This Row],[Adjusted_ULife_PF]]=5,VLOOKUP(Table1[[#This Row],[Item_Platform]],[1]!Table2[#All],8,FALSE),0)</f>
        <v>0</v>
      </c>
      <c r="AW49" s="25">
        <f>SUM(Table1[[#This Row],[yr 5_wl]:[yr 5_pf]])</f>
        <v>6461.9195050666694</v>
      </c>
      <c r="AX49" s="25">
        <f>IF(Table1[[#This Row],[Years_Next_Rehab_Well]]=6,VLOOKUP(Table1[[#This Row],[Item_Rehab_WL]],[1]!Table2[#All],9,FALSE),0)</f>
        <v>0</v>
      </c>
      <c r="AY49" s="25">
        <f>IF(Table1[[#This Row],[Adjusted_ULife_HP]]=6,VLOOKUP(Table1[[#This Row],[Item_Handpump]],[1]!Table2[#All],9,FALSE),0)</f>
        <v>0</v>
      </c>
      <c r="AZ49" s="25">
        <f>IF(Table1[[#This Row],[Adjusted_ULife_PF]]=6,VLOOKUP(Table1[[#This Row],[Item_Platform]],[1]!Table2[#All],9,FALSE),0)</f>
        <v>0</v>
      </c>
      <c r="BA49" s="25">
        <f>SUM(Table1[[#This Row],[yr 6_wl]:[yr 6_pf]])</f>
        <v>0</v>
      </c>
      <c r="BB49" s="25">
        <f>IF(Table1[[#This Row],[Years_Next_Rehab_Well]]=7,VLOOKUP(Table1[[#This Row],[Item_Rehab_WL]],[1]!Table2[#All],10,FALSE),0)</f>
        <v>0</v>
      </c>
      <c r="BC49" s="25">
        <f>IF(Table1[[#This Row],[Adjusted_ULife_HP]]=7,VLOOKUP(Table1[[#This Row],[Item_Handpump]],[1]!Table2[#All],10,FALSE),0)</f>
        <v>0</v>
      </c>
      <c r="BD49" s="25">
        <f>IF(Table1[[#This Row],[Adjusted_ULife_PF]]=7,VLOOKUP(Table1[[#This Row],[Item_Platform]],[1]!Table2[#All],10,FALSE),0)</f>
        <v>0</v>
      </c>
      <c r="BE49" s="25">
        <f>SUM(Table1[[#This Row],[yr 7_wl]:[yr 7_pf]])</f>
        <v>0</v>
      </c>
      <c r="BF49" s="25">
        <f>IF(Table1[[#This Row],[Years_Next_Rehab_Well]]=8,VLOOKUP(Table1[[#This Row],[Item_Rehab_WL]],[1]!Table2[#All],11,FALSE),0)</f>
        <v>0</v>
      </c>
      <c r="BG49" s="25">
        <f>IF(Table1[[#This Row],[Adjusted_ULife_HP]]=8,VLOOKUP(Table1[[#This Row],[Item_Handpump]],[1]!Table2[#All],11,FALSE),0)</f>
        <v>0</v>
      </c>
      <c r="BH49" s="25">
        <f>IF(Table1[[#This Row],[Adjusted_ULife_PF]]=8,VLOOKUP(Table1[[#This Row],[Item_Platform]],[1]!Table2[#All],11,FALSE),0)</f>
        <v>0</v>
      </c>
      <c r="BI49" s="25">
        <f>SUM(Table1[[#This Row],[yr 8_wl]:[yr 8_pf]])</f>
        <v>0</v>
      </c>
      <c r="BJ49" s="25">
        <f>IF(Table1[[#This Row],[Years_Next_Rehab_Well]]=9,VLOOKUP(Table1[[#This Row],[Item_Rehab_WL]],[1]!Table2[#All],12,FALSE),0)</f>
        <v>0</v>
      </c>
      <c r="BK49" s="25">
        <f>IF(Table1[[#This Row],[Adjusted_ULife_HP]]=9,VLOOKUP(Table1[[#This Row],[Item_Handpump]],[1]!Table2[#All],12,FALSE),0)</f>
        <v>0</v>
      </c>
      <c r="BL49" s="25">
        <f>IF(Table1[[#This Row],[Adjusted_ULife_PF]]=9,VLOOKUP(Table1[[#This Row],[Item_Platform]],[1]!Table2[#All],12,FALSE),0)</f>
        <v>0</v>
      </c>
      <c r="BM49" s="25">
        <f>SUM(Table1[[#This Row],[yr 9_wl]:[yr 9_pf]])</f>
        <v>0</v>
      </c>
      <c r="BN49" s="25">
        <f>IF(Table1[[#This Row],[Years_Next_Rehab_Well]]=10,VLOOKUP(Table1[[#This Row],[Item_Rehab_WL]],[1]!Table2[#All],13,FALSE),0)</f>
        <v>0</v>
      </c>
      <c r="BO49" s="25">
        <f>IF(Table1[[#This Row],[Adjusted_ULife_HP]]=10,VLOOKUP(Table1[[#This Row],[Item_Handpump]],[1]!Table2[#All],13,FALSE),0)</f>
        <v>1242.3392833376847</v>
      </c>
      <c r="BP49" s="25">
        <f>IF(Table1[[#This Row],[Adjusted_ULife_PF]]=10,VLOOKUP(Table1[[#This Row],[Item_Platform]],[1]!Table2[#All],13,FALSE),0)</f>
        <v>0</v>
      </c>
      <c r="BQ49" s="25">
        <f>SUM(Table1[[#This Row],[yr 10_wl]:[yr 10_pf]])</f>
        <v>1242.3392833376847</v>
      </c>
      <c r="BR49" s="25">
        <f>IF(Table1[[#This Row],[Years_Next_Rehab_Well]]=11,VLOOKUP(Table1[[#This Row],[Item_Rehab_WL]],[1]!Table2[#All],14,FALSE),0)</f>
        <v>0</v>
      </c>
      <c r="BS49" s="25">
        <f>IF(Table1[[#This Row],[Adjusted_ULife_HP]]=11,VLOOKUP(Table1[[#This Row],[Item_Handpump]],[1]!Table2[#All],14,FALSE),0)</f>
        <v>0</v>
      </c>
      <c r="BT49" s="25">
        <f>IF(Table1[[#This Row],[Adjusted_ULife_PF]]=11,VLOOKUP(Table1[[#This Row],[Item_Platform]],[1]!Table2[#All],14,FALSE),0)</f>
        <v>0</v>
      </c>
      <c r="BU49" s="25">
        <f>SUM(Table1[[#This Row],[yr 11_wl]:[yr 11_pf]])</f>
        <v>0</v>
      </c>
      <c r="BV49" s="25">
        <f>IF(Table1[[#This Row],[Years_Next_Rehab_Well]]=12,VLOOKUP(Table1[[#This Row],[Item_Rehab_WL]],[1]!Table2[#All],15,FALSE),0)</f>
        <v>0</v>
      </c>
      <c r="BW49" s="25">
        <f>IF(Table1[[#This Row],[Adjusted_ULife_HP]]=12,VLOOKUP(Table1[[#This Row],[Item_Handpump]],[1]!Table2[#All],15,FALSE),0)</f>
        <v>0</v>
      </c>
      <c r="BX49" s="25">
        <f>IF(Table1[[#This Row],[Adjusted_ULife_PF]]=12,VLOOKUP(Table1[[#This Row],[Item_Platform]],[1]!Table2[#All],15,FALSE),0)</f>
        <v>0</v>
      </c>
      <c r="BY49" s="25">
        <f>SUM(Table1[[#This Row],[yr 12_wl]:[yr 12_pf]])</f>
        <v>0</v>
      </c>
      <c r="BZ49" s="25">
        <f>IF(Table1[[#This Row],[Years_Next_Rehab_Well]]=13,VLOOKUP(Table1[[#This Row],[Item_Rehab_WL]],[1]!Table2[#All],16,FALSE),0)</f>
        <v>0</v>
      </c>
      <c r="CA49" s="25">
        <f>IF(Table1[[#This Row],[Adjusted_ULife_HP]]=13,VLOOKUP(Table1[[#This Row],[Item_Handpump]],[1]!Table2[#All],16,FALSE),0)</f>
        <v>0</v>
      </c>
      <c r="CB49" s="25">
        <f>IF(Table1[[#This Row],[Adjusted_ULife_PF]]=13,VLOOKUP(Table1[[#This Row],[Item_Platform]],[1]!Table2[#All],16,FALSE),0)</f>
        <v>0</v>
      </c>
      <c r="CC49" s="25">
        <f>SUM(Table1[[#This Row],[yr 13_wl]:[yr 13_pf]])</f>
        <v>0</v>
      </c>
      <c r="CD49" s="12"/>
    </row>
    <row r="50" spans="1:82" s="11" customFormat="1" x14ac:dyDescent="0.25">
      <c r="A50" s="11" t="str">
        <f>IF([1]Input_monitoring_data!A46="","",[1]Input_monitoring_data!A46)</f>
        <v>7mw2-cb2s-nb3u</v>
      </c>
      <c r="B50" s="22" t="str">
        <f>[1]Input_monitoring_data!BH46</f>
        <v>Ntotroso</v>
      </c>
      <c r="C50" s="22" t="str">
        <f>[1]Input_monitoring_data!BI46</f>
        <v>Ensonyame Ye No.2</v>
      </c>
      <c r="D50" s="22" t="str">
        <f>[1]Input_monitoring_data!P46</f>
        <v>7.097588617907831</v>
      </c>
      <c r="E50" s="22" t="str">
        <f>[1]Input_monitoring_data!Q46</f>
        <v>-2.3161243242668212</v>
      </c>
      <c r="F50" s="22" t="str">
        <f>[1]Input_monitoring_data!V46</f>
        <v>Along Ensonyame Ye Road To Shell</v>
      </c>
      <c r="G50" s="23" t="str">
        <f>[1]Input_monitoring_data!U46</f>
        <v>Borehole</v>
      </c>
      <c r="H50" s="22">
        <f>[1]Input_monitoring_data!X46</f>
        <v>2011</v>
      </c>
      <c r="I50" s="21" t="str">
        <f>[1]Input_monitoring_data!AB46</f>
        <v>Borehole redevelopment</v>
      </c>
      <c r="J50" s="21">
        <f>[1]Input_monitoring_data!AC46</f>
        <v>0</v>
      </c>
      <c r="K50" s="23" t="str">
        <f>[1]Input_monitoring_data!W46</f>
        <v>AfriDev</v>
      </c>
      <c r="L50" s="22">
        <f>[1]Input_monitoring_data!X46</f>
        <v>2011</v>
      </c>
      <c r="M50" s="21" t="str">
        <f>IF([1]Input_monitoring_data!BL46&gt;'Point Sources_Asset_Register_'!L50,[1]Input_monitoring_data!BL46,"")</f>
        <v/>
      </c>
      <c r="N50" s="22" t="str">
        <f>[1]Input_monitoring_data!BQ46</f>
        <v>functional</v>
      </c>
      <c r="O50" s="22">
        <f>[1]Input_monitoring_data!AJ46</f>
        <v>0</v>
      </c>
      <c r="P50" s="23" t="s">
        <v>0</v>
      </c>
      <c r="Q50" s="22">
        <f>L50</f>
        <v>2011</v>
      </c>
      <c r="R50" s="21" t="str">
        <f>M50</f>
        <v/>
      </c>
      <c r="S50" s="20">
        <f>[1]Input_EUL_CRC_ERC!$B$17-Table1[[#This Row],[Year Installed_WL]]</f>
        <v>6</v>
      </c>
      <c r="T50" s="20">
        <f>[1]Input_EUL_CRC_ERC!$B$17-(IF(Table1[[#This Row],[Year Last_Rehab_WL ]]=0,Table1[[#This Row],[Year Installed_WL]],[1]Input_EUL_CRC_ERC!$B$17-Table1[[#This Row],[Year Last_Rehab_WL ]]))</f>
        <v>6</v>
      </c>
      <c r="U50" s="20">
        <f>(VLOOKUP(Table1[[#This Row],[Item_Rehab_WL]],[1]Input_EUL_CRC_ERC!$C$17:$E$27,2,FALSE)-Table1[[#This Row],[Last Rehab Age]])</f>
        <v>9</v>
      </c>
      <c r="V50" s="19">
        <f>[1]Input_EUL_CRC_ERC!$B$17-Table1[[#This Row],[Year Installed_HP]]</f>
        <v>6</v>
      </c>
      <c r="W50" s="19">
        <f>(VLOOKUP(Table1[[#This Row],[Item_Handpump]],[1]!Table2[#All],2,FALSE))-(IF(Table1[[#This Row],[Year Last_Rehab_HP]]="",Table1[[#This Row],[Current Age_Handpump]],[1]Input_EUL_CRC_ERC!$B$17-Table1[[#This Row],[Year Last_Rehab_HP]]))</f>
        <v>14</v>
      </c>
      <c r="X50" s="19">
        <f>[1]Input_EUL_CRC_ERC!$B$17-Table1[[#This Row],[Year Installed_PF]]</f>
        <v>6</v>
      </c>
      <c r="Y50" s="19">
        <f>(VLOOKUP(Table1[[#This Row],[Item_Platform]],[1]!Table2[#All],2,FALSE))-(IF(Table1[[#This Row],[Year Last_Rehab_PF]]="",Table1[[#This Row],[Current Age_Platform]],[1]Input_EUL_CRC_ERC!$B$17-Table1[[#This Row],[Year Last_Rehab_PF]]))</f>
        <v>4</v>
      </c>
      <c r="Z50" s="25">
        <f>IF(Table1[[#This Row],[Years_Next_Rehab_Well]]&lt;=0,VLOOKUP(Table1[[#This Row],[Item_Rehab_WL]],[1]!Table2[#All],3,FALSE),0)</f>
        <v>0</v>
      </c>
      <c r="AA50" s="18">
        <f>IF(Table1[[#This Row],[Adjusted_ULife_HP]]&lt;=0,VLOOKUP(Table1[[#This Row],[Item_Handpump]],[1]!Table2[#All],3,FALSE),0)</f>
        <v>0</v>
      </c>
      <c r="AB50" s="18">
        <f>IF(Table1[[#This Row],[Adjusted_ULife_PF]]&lt;=0,VLOOKUP(Table1[[#This Row],[Item_Platform]],[1]!Table2[#All],3,FALSE),0)</f>
        <v>0</v>
      </c>
      <c r="AC50" s="18">
        <f>SUM(Table1[[#This Row],[current yr_wl]:[current yr_pf]])</f>
        <v>0</v>
      </c>
      <c r="AD50" s="25">
        <f>IF(Table1[[#This Row],[Years_Next_Rehab_Well]]=1,VLOOKUP(Table1[[#This Row],[Item_Rehab_WL]],[1]!Table2[#All],4,FALSE),0)</f>
        <v>0</v>
      </c>
      <c r="AE50" s="25">
        <f>IF(Table1[[#This Row],[Adjusted_ULife_HP]]=1,VLOOKUP(Table1[[#This Row],[Item_Handpump]],[1]!Table2[#All],4,FALSE),0)</f>
        <v>0</v>
      </c>
      <c r="AF50" s="25">
        <f>IF(Table1[[#This Row],[Adjusted_ULife_PF]]=1,VLOOKUP(Table1[[#This Row],[Item_Platform]],[1]!Table2[#All],4,FALSE),0)</f>
        <v>0</v>
      </c>
      <c r="AG50" s="25">
        <f>SUM(Table1[[#This Row],[yr 1_wl]:[yr 1_pf]])</f>
        <v>0</v>
      </c>
      <c r="AH50" s="25">
        <f>IF(Table1[[#This Row],[Years_Next_Rehab_Well]]=2,VLOOKUP(Table1[[#This Row],[Item_Rehab_WL]],[1]!Table2[#All],5,FALSE),0)</f>
        <v>0</v>
      </c>
      <c r="AI50" s="25">
        <f>IF(Table1[[#This Row],[Adjusted_ULife_HP]]=2,VLOOKUP(Table1[[#This Row],[Item_Handpump]],[1]!Table2[#All],5,FALSE),0)</f>
        <v>0</v>
      </c>
      <c r="AJ50" s="25">
        <f>IF(Table1[[#This Row],[Adjusted_ULife_PF]]=2,VLOOKUP(Table1[[#This Row],[Item_Platform]],[1]!Table2[#All],5,FALSE),0)</f>
        <v>0</v>
      </c>
      <c r="AK50" s="25">
        <f>SUM(Table1[[#This Row],[yr 2_wl]:[yr 2_pf]])</f>
        <v>0</v>
      </c>
      <c r="AL50" s="25">
        <f>IF(Table1[[#This Row],[Years_Next_Rehab_Well]]=3,VLOOKUP(Table1[[#This Row],[Item_Rehab_WL]],[1]!Table2[#All],6,FALSE),0)</f>
        <v>0</v>
      </c>
      <c r="AM50" s="25">
        <f>IF(Table1[[#This Row],[Adjusted_ULife_HP]]=3,VLOOKUP(Table1[[#This Row],[Item_Handpump]],[1]!Table2[#All],6,FALSE),0)</f>
        <v>0</v>
      </c>
      <c r="AN50" s="25">
        <f>IF(Table1[[#This Row],[Adjusted_ULife_PF]]=3,VLOOKUP(Table1[[#This Row],[Item_Platform]],[1]!Table2[#All],6,FALSE),0)</f>
        <v>0</v>
      </c>
      <c r="AO50" s="25">
        <f>SUM(Table1[[#This Row],[yr 3_wl]:[yr 3_pf]])</f>
        <v>0</v>
      </c>
      <c r="AP50" s="25">
        <f>IF(Table1[[#This Row],[Years_Next_Rehab_Well]]=4,VLOOKUP(Table1[[#This Row],[Item_Rehab_WL]],[1]!Table2[#All],7,FALSE),0)</f>
        <v>0</v>
      </c>
      <c r="AQ50" s="25">
        <f>IF(Table1[[#This Row],[Adjusted_ULife_HP]]=4,VLOOKUP(Table1[[#This Row],[Item_Handpump]],[1]!Table2[#All],7,FALSE),0)</f>
        <v>0</v>
      </c>
      <c r="AR50" s="25">
        <f>IF(Table1[[#This Row],[Adjusted_ULife_PF]]=4,VLOOKUP(Table1[[#This Row],[Item_Platform]],[1]!Table2[#All],7,FALSE),0)</f>
        <v>2360.2790400000013</v>
      </c>
      <c r="AS50" s="25">
        <f>SUM(Table1[[#This Row],[yr 4_wl]:[yr 4_pf]])</f>
        <v>2360.2790400000013</v>
      </c>
      <c r="AT50" s="25">
        <f>IF(Table1[[#This Row],[Years_Next_Rehab_Well]]=5,VLOOKUP(Table1[[#This Row],[Item_Rehab_WL]],[1]!Table2[#All],8,FALSE),0)</f>
        <v>0</v>
      </c>
      <c r="AU50" s="25">
        <f>IF(Table1[[#This Row],[Adjusted_ULife_HP]]=5,VLOOKUP(Table1[[#This Row],[Item_Handpump]],[1]!Table2[#All],8,FALSE),0)</f>
        <v>0</v>
      </c>
      <c r="AV50" s="25">
        <f>IF(Table1[[#This Row],[Adjusted_ULife_PF]]=5,VLOOKUP(Table1[[#This Row],[Item_Platform]],[1]!Table2[#All],8,FALSE),0)</f>
        <v>0</v>
      </c>
      <c r="AW50" s="25">
        <f>SUM(Table1[[#This Row],[yr 5_wl]:[yr 5_pf]])</f>
        <v>0</v>
      </c>
      <c r="AX50" s="25">
        <f>IF(Table1[[#This Row],[Years_Next_Rehab_Well]]=6,VLOOKUP(Table1[[#This Row],[Item_Rehab_WL]],[1]!Table2[#All],9,FALSE),0)</f>
        <v>0</v>
      </c>
      <c r="AY50" s="25">
        <f>IF(Table1[[#This Row],[Adjusted_ULife_HP]]=6,VLOOKUP(Table1[[#This Row],[Item_Handpump]],[1]!Table2[#All],9,FALSE),0)</f>
        <v>0</v>
      </c>
      <c r="AZ50" s="25">
        <f>IF(Table1[[#This Row],[Adjusted_ULife_PF]]=6,VLOOKUP(Table1[[#This Row],[Item_Platform]],[1]!Table2[#All],9,FALSE),0)</f>
        <v>0</v>
      </c>
      <c r="BA50" s="25">
        <f>SUM(Table1[[#This Row],[yr 6_wl]:[yr 6_pf]])</f>
        <v>0</v>
      </c>
      <c r="BB50" s="25">
        <f>IF(Table1[[#This Row],[Years_Next_Rehab_Well]]=7,VLOOKUP(Table1[[#This Row],[Item_Rehab_WL]],[1]!Table2[#All],10,FALSE),0)</f>
        <v>0</v>
      </c>
      <c r="BC50" s="25">
        <f>IF(Table1[[#This Row],[Adjusted_ULife_HP]]=7,VLOOKUP(Table1[[#This Row],[Item_Handpump]],[1]!Table2[#All],10,FALSE),0)</f>
        <v>0</v>
      </c>
      <c r="BD50" s="25">
        <f>IF(Table1[[#This Row],[Adjusted_ULife_PF]]=7,VLOOKUP(Table1[[#This Row],[Item_Platform]],[1]!Table2[#All],10,FALSE),0)</f>
        <v>0</v>
      </c>
      <c r="BE50" s="25">
        <f>SUM(Table1[[#This Row],[yr 7_wl]:[yr 7_pf]])</f>
        <v>0</v>
      </c>
      <c r="BF50" s="25">
        <f>IF(Table1[[#This Row],[Years_Next_Rehab_Well]]=8,VLOOKUP(Table1[[#This Row],[Item_Rehab_WL]],[1]!Table2[#All],11,FALSE),0)</f>
        <v>0</v>
      </c>
      <c r="BG50" s="25">
        <f>IF(Table1[[#This Row],[Adjusted_ULife_HP]]=8,VLOOKUP(Table1[[#This Row],[Item_Handpump]],[1]!Table2[#All],11,FALSE),0)</f>
        <v>0</v>
      </c>
      <c r="BH50" s="25">
        <f>IF(Table1[[#This Row],[Adjusted_ULife_PF]]=8,VLOOKUP(Table1[[#This Row],[Item_Platform]],[1]!Table2[#All],11,FALSE),0)</f>
        <v>0</v>
      </c>
      <c r="BI50" s="25">
        <f>SUM(Table1[[#This Row],[yr 8_wl]:[yr 8_pf]])</f>
        <v>0</v>
      </c>
      <c r="BJ50" s="25">
        <f>IF(Table1[[#This Row],[Years_Next_Rehab_Well]]=9,VLOOKUP(Table1[[#This Row],[Item_Rehab_WL]],[1]!Table2[#All],12,FALSE),0)</f>
        <v>10167.955443984027</v>
      </c>
      <c r="BK50" s="25">
        <f>IF(Table1[[#This Row],[Adjusted_ULife_HP]]=9,VLOOKUP(Table1[[#This Row],[Item_Handpump]],[1]!Table2[#All],12,FALSE),0)</f>
        <v>0</v>
      </c>
      <c r="BL50" s="25">
        <f>IF(Table1[[#This Row],[Adjusted_ULife_PF]]=9,VLOOKUP(Table1[[#This Row],[Item_Platform]],[1]!Table2[#All],12,FALSE),0)</f>
        <v>0</v>
      </c>
      <c r="BM50" s="25">
        <f>SUM(Table1[[#This Row],[yr 9_wl]:[yr 9_pf]])</f>
        <v>10167.955443984027</v>
      </c>
      <c r="BN50" s="25">
        <f>IF(Table1[[#This Row],[Years_Next_Rehab_Well]]=10,VLOOKUP(Table1[[#This Row],[Item_Rehab_WL]],[1]!Table2[#All],13,FALSE),0)</f>
        <v>0</v>
      </c>
      <c r="BO50" s="25">
        <f>IF(Table1[[#This Row],[Adjusted_ULife_HP]]=10,VLOOKUP(Table1[[#This Row],[Item_Handpump]],[1]!Table2[#All],13,FALSE),0)</f>
        <v>0</v>
      </c>
      <c r="BP50" s="25">
        <f>IF(Table1[[#This Row],[Adjusted_ULife_PF]]=10,VLOOKUP(Table1[[#This Row],[Item_Platform]],[1]!Table2[#All],13,FALSE),0)</f>
        <v>0</v>
      </c>
      <c r="BQ50" s="25">
        <f>SUM(Table1[[#This Row],[yr 10_wl]:[yr 10_pf]])</f>
        <v>0</v>
      </c>
      <c r="BR50" s="25">
        <f>IF(Table1[[#This Row],[Years_Next_Rehab_Well]]=11,VLOOKUP(Table1[[#This Row],[Item_Rehab_WL]],[1]!Table2[#All],14,FALSE),0)</f>
        <v>0</v>
      </c>
      <c r="BS50" s="25">
        <f>IF(Table1[[#This Row],[Adjusted_ULife_HP]]=11,VLOOKUP(Table1[[#This Row],[Item_Handpump]],[1]!Table2[#All],14,FALSE),0)</f>
        <v>0</v>
      </c>
      <c r="BT50" s="25">
        <f>IF(Table1[[#This Row],[Adjusted_ULife_PF]]=11,VLOOKUP(Table1[[#This Row],[Item_Platform]],[1]!Table2[#All],14,FALSE),0)</f>
        <v>0</v>
      </c>
      <c r="BU50" s="25">
        <f>SUM(Table1[[#This Row],[yr 11_wl]:[yr 11_pf]])</f>
        <v>0</v>
      </c>
      <c r="BV50" s="25">
        <f>IF(Table1[[#This Row],[Years_Next_Rehab_Well]]=12,VLOOKUP(Table1[[#This Row],[Item_Rehab_WL]],[1]!Table2[#All],15,FALSE),0)</f>
        <v>0</v>
      </c>
      <c r="BW50" s="25">
        <f>IF(Table1[[#This Row],[Adjusted_ULife_HP]]=12,VLOOKUP(Table1[[#This Row],[Item_Handpump]],[1]!Table2[#All],15,FALSE),0)</f>
        <v>0</v>
      </c>
      <c r="BX50" s="25">
        <f>IF(Table1[[#This Row],[Adjusted_ULife_PF]]=12,VLOOKUP(Table1[[#This Row],[Item_Platform]],[1]!Table2[#All],15,FALSE),0)</f>
        <v>0</v>
      </c>
      <c r="BY50" s="25">
        <f>SUM(Table1[[#This Row],[yr 12_wl]:[yr 12_pf]])</f>
        <v>0</v>
      </c>
      <c r="BZ50" s="25">
        <f>IF(Table1[[#This Row],[Years_Next_Rehab_Well]]=13,VLOOKUP(Table1[[#This Row],[Item_Rehab_WL]],[1]!Table2[#All],16,FALSE),0)</f>
        <v>0</v>
      </c>
      <c r="CA50" s="25">
        <f>IF(Table1[[#This Row],[Adjusted_ULife_HP]]=13,VLOOKUP(Table1[[#This Row],[Item_Handpump]],[1]!Table2[#All],16,FALSE),0)</f>
        <v>0</v>
      </c>
      <c r="CB50" s="25">
        <f>IF(Table1[[#This Row],[Adjusted_ULife_PF]]=13,VLOOKUP(Table1[[#This Row],[Item_Platform]],[1]!Table2[#All],16,FALSE),0)</f>
        <v>0</v>
      </c>
      <c r="CC50" s="25">
        <f>SUM(Table1[[#This Row],[yr 13_wl]:[yr 13_pf]])</f>
        <v>0</v>
      </c>
      <c r="CD50" s="12"/>
    </row>
    <row r="51" spans="1:82" s="11" customFormat="1" x14ac:dyDescent="0.25">
      <c r="A51" s="11" t="str">
        <f>IF([1]Input_monitoring_data!A47="","",[1]Input_monitoring_data!A47)</f>
        <v>7u71-tdss-btb8</v>
      </c>
      <c r="B51" s="22" t="str">
        <f>[1]Input_monitoring_data!BH47</f>
        <v>Goamu</v>
      </c>
      <c r="C51" s="22" t="str">
        <f>[1]Input_monitoring_data!BI47</f>
        <v>Yaw Nsiahkrom</v>
      </c>
      <c r="D51" s="22" t="str">
        <f>[1]Input_monitoring_data!P47</f>
        <v>7.01432011338978</v>
      </c>
      <c r="E51" s="22" t="str">
        <f>[1]Input_monitoring_data!Q47</f>
        <v>-2.485331735320916</v>
      </c>
      <c r="F51" s="22" t="str">
        <f>[1]Input_monitoring_data!V47</f>
        <v>Near The Dunkwa Stream</v>
      </c>
      <c r="G51" s="23" t="str">
        <f>[1]Input_monitoring_data!U47</f>
        <v>Hand dug well</v>
      </c>
      <c r="H51" s="22">
        <f>[1]Input_monitoring_data!X47</f>
        <v>1995</v>
      </c>
      <c r="I51" s="21" t="str">
        <f>[1]Input_monitoring_data!AB47</f>
        <v>Borehole redevelopment</v>
      </c>
      <c r="J51" s="21">
        <f>[1]Input_monitoring_data!AC47</f>
        <v>0</v>
      </c>
      <c r="K51" s="23" t="str">
        <f>[1]Input_monitoring_data!W47</f>
        <v>Nira AF-85</v>
      </c>
      <c r="L51" s="22">
        <f>[1]Input_monitoring_data!X47</f>
        <v>1995</v>
      </c>
      <c r="M51" s="21">
        <f>IF([1]Input_monitoring_data!BL47&gt;'Point Sources_Asset_Register_'!L51,[1]Input_monitoring_data!BL47,"")</f>
        <v>2014</v>
      </c>
      <c r="N51" s="22" t="str">
        <f>[1]Input_monitoring_data!BQ47</f>
        <v>functional</v>
      </c>
      <c r="O51" s="22">
        <f>[1]Input_monitoring_data!AJ47</f>
        <v>0</v>
      </c>
      <c r="P51" s="23" t="s">
        <v>0</v>
      </c>
      <c r="Q51" s="22">
        <f>L51</f>
        <v>1995</v>
      </c>
      <c r="R51" s="21">
        <f>M51</f>
        <v>2014</v>
      </c>
      <c r="S51" s="20">
        <f>[1]Input_EUL_CRC_ERC!$B$17-Table1[[#This Row],[Year Installed_WL]]</f>
        <v>22</v>
      </c>
      <c r="T51" s="20">
        <f>[1]Input_EUL_CRC_ERC!$B$17-(IF(Table1[[#This Row],[Year Last_Rehab_WL ]]=0,Table1[[#This Row],[Year Installed_WL]],[1]Input_EUL_CRC_ERC!$B$17-Table1[[#This Row],[Year Last_Rehab_WL ]]))</f>
        <v>22</v>
      </c>
      <c r="U51" s="20">
        <f>(VLOOKUP(Table1[[#This Row],[Item_Rehab_WL]],[1]Input_EUL_CRC_ERC!$C$17:$E$27,2,FALSE)-Table1[[#This Row],[Last Rehab Age]])</f>
        <v>-7</v>
      </c>
      <c r="V51" s="19">
        <f>[1]Input_EUL_CRC_ERC!$B$17-Table1[[#This Row],[Year Installed_HP]]</f>
        <v>22</v>
      </c>
      <c r="W51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51" s="19">
        <f>[1]Input_EUL_CRC_ERC!$B$17-Table1[[#This Row],[Year Installed_PF]]</f>
        <v>22</v>
      </c>
      <c r="Y51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51" s="25">
        <f>IF(Table1[[#This Row],[Years_Next_Rehab_Well]]&lt;=0,VLOOKUP(Table1[[#This Row],[Item_Rehab_WL]],[1]!Table2[#All],3,FALSE),0)</f>
        <v>3666.6666666666665</v>
      </c>
      <c r="AA51" s="18">
        <f>IF(Table1[[#This Row],[Adjusted_ULife_HP]]&lt;=0,VLOOKUP(Table1[[#This Row],[Item_Handpump]],[1]!Table2[#All],3,FALSE),0)</f>
        <v>0</v>
      </c>
      <c r="AB51" s="18">
        <f>IF(Table1[[#This Row],[Adjusted_ULife_PF]]&lt;=0,VLOOKUP(Table1[[#This Row],[Item_Platform]],[1]!Table2[#All],3,FALSE),0)</f>
        <v>0</v>
      </c>
      <c r="AC51" s="18">
        <f>SUM(Table1[[#This Row],[current yr_wl]:[current yr_pf]])</f>
        <v>3666.6666666666665</v>
      </c>
      <c r="AD51" s="25">
        <f>IF(Table1[[#This Row],[Years_Next_Rehab_Well]]=1,VLOOKUP(Table1[[#This Row],[Item_Rehab_WL]],[1]!Table2[#All],4,FALSE),0)</f>
        <v>0</v>
      </c>
      <c r="AE51" s="25">
        <f>IF(Table1[[#This Row],[Adjusted_ULife_HP]]=1,VLOOKUP(Table1[[#This Row],[Item_Handpump]],[1]!Table2[#All],4,FALSE),0)</f>
        <v>0</v>
      </c>
      <c r="AF51" s="25">
        <f>IF(Table1[[#This Row],[Adjusted_ULife_PF]]=1,VLOOKUP(Table1[[#This Row],[Item_Platform]],[1]!Table2[#All],4,FALSE),0)</f>
        <v>0</v>
      </c>
      <c r="AG51" s="25">
        <f>SUM(Table1[[#This Row],[yr 1_wl]:[yr 1_pf]])</f>
        <v>0</v>
      </c>
      <c r="AH51" s="25">
        <f>IF(Table1[[#This Row],[Years_Next_Rehab_Well]]=2,VLOOKUP(Table1[[#This Row],[Item_Rehab_WL]],[1]!Table2[#All],5,FALSE),0)</f>
        <v>0</v>
      </c>
      <c r="AI51" s="25">
        <f>IF(Table1[[#This Row],[Adjusted_ULife_HP]]=2,VLOOKUP(Table1[[#This Row],[Item_Handpump]],[1]!Table2[#All],5,FALSE),0)</f>
        <v>0</v>
      </c>
      <c r="AJ51" s="25">
        <f>IF(Table1[[#This Row],[Adjusted_ULife_PF]]=2,VLOOKUP(Table1[[#This Row],[Item_Platform]],[1]!Table2[#All],5,FALSE),0)</f>
        <v>0</v>
      </c>
      <c r="AK51" s="25">
        <f>SUM(Table1[[#This Row],[yr 2_wl]:[yr 2_pf]])</f>
        <v>0</v>
      </c>
      <c r="AL51" s="25">
        <f>IF(Table1[[#This Row],[Years_Next_Rehab_Well]]=3,VLOOKUP(Table1[[#This Row],[Item_Rehab_WL]],[1]!Table2[#All],6,FALSE),0)</f>
        <v>0</v>
      </c>
      <c r="AM51" s="25">
        <f>IF(Table1[[#This Row],[Adjusted_ULife_HP]]=3,VLOOKUP(Table1[[#This Row],[Item_Handpump]],[1]!Table2[#All],6,FALSE),0)</f>
        <v>0</v>
      </c>
      <c r="AN51" s="25">
        <f>IF(Table1[[#This Row],[Adjusted_ULife_PF]]=3,VLOOKUP(Table1[[#This Row],[Item_Platform]],[1]!Table2[#All],6,FALSE),0)</f>
        <v>0</v>
      </c>
      <c r="AO51" s="25">
        <f>SUM(Table1[[#This Row],[yr 3_wl]:[yr 3_pf]])</f>
        <v>0</v>
      </c>
      <c r="AP51" s="25">
        <f>IF(Table1[[#This Row],[Years_Next_Rehab_Well]]=4,VLOOKUP(Table1[[#This Row],[Item_Rehab_WL]],[1]!Table2[#All],7,FALSE),0)</f>
        <v>0</v>
      </c>
      <c r="AQ51" s="25">
        <f>IF(Table1[[#This Row],[Adjusted_ULife_HP]]=4,VLOOKUP(Table1[[#This Row],[Item_Handpump]],[1]!Table2[#All],7,FALSE),0)</f>
        <v>0</v>
      </c>
      <c r="AR51" s="25">
        <f>IF(Table1[[#This Row],[Adjusted_ULife_PF]]=4,VLOOKUP(Table1[[#This Row],[Item_Platform]],[1]!Table2[#All],7,FALSE),0)</f>
        <v>0</v>
      </c>
      <c r="AS51" s="25">
        <f>SUM(Table1[[#This Row],[yr 4_wl]:[yr 4_pf]])</f>
        <v>0</v>
      </c>
      <c r="AT51" s="25">
        <f>IF(Table1[[#This Row],[Years_Next_Rehab_Well]]=5,VLOOKUP(Table1[[#This Row],[Item_Rehab_WL]],[1]!Table2[#All],8,FALSE),0)</f>
        <v>0</v>
      </c>
      <c r="AU51" s="25">
        <f>IF(Table1[[#This Row],[Adjusted_ULife_HP]]=5,VLOOKUP(Table1[[#This Row],[Item_Handpump]],[1]!Table2[#All],8,FALSE),0)</f>
        <v>0</v>
      </c>
      <c r="AV51" s="25">
        <f>IF(Table1[[#This Row],[Adjusted_ULife_PF]]=5,VLOOKUP(Table1[[#This Row],[Item_Platform]],[1]!Table2[#All],8,FALSE),0)</f>
        <v>0</v>
      </c>
      <c r="AW51" s="25">
        <f>SUM(Table1[[#This Row],[yr 5_wl]:[yr 5_pf]])</f>
        <v>0</v>
      </c>
      <c r="AX51" s="25">
        <f>IF(Table1[[#This Row],[Years_Next_Rehab_Well]]=6,VLOOKUP(Table1[[#This Row],[Item_Rehab_WL]],[1]!Table2[#All],9,FALSE),0)</f>
        <v>0</v>
      </c>
      <c r="AY51" s="25">
        <f>IF(Table1[[#This Row],[Adjusted_ULife_HP]]=6,VLOOKUP(Table1[[#This Row],[Item_Handpump]],[1]!Table2[#All],9,FALSE),0)</f>
        <v>0</v>
      </c>
      <c r="AZ51" s="25">
        <f>IF(Table1[[#This Row],[Adjusted_ULife_PF]]=6,VLOOKUP(Table1[[#This Row],[Item_Platform]],[1]!Table2[#All],9,FALSE),0)</f>
        <v>0</v>
      </c>
      <c r="BA51" s="25">
        <f>SUM(Table1[[#This Row],[yr 6_wl]:[yr 6_pf]])</f>
        <v>0</v>
      </c>
      <c r="BB51" s="25">
        <f>IF(Table1[[#This Row],[Years_Next_Rehab_Well]]=7,VLOOKUP(Table1[[#This Row],[Item_Rehab_WL]],[1]!Table2[#All],10,FALSE),0)</f>
        <v>0</v>
      </c>
      <c r="BC51" s="25">
        <f>IF(Table1[[#This Row],[Adjusted_ULife_HP]]=7,VLOOKUP(Table1[[#This Row],[Item_Handpump]],[1]!Table2[#All],10,FALSE),0)</f>
        <v>0</v>
      </c>
      <c r="BD51" s="25">
        <f>IF(Table1[[#This Row],[Adjusted_ULife_PF]]=7,VLOOKUP(Table1[[#This Row],[Item_Platform]],[1]!Table2[#All],10,FALSE),0)</f>
        <v>3316.0221111091228</v>
      </c>
      <c r="BE51" s="25">
        <f>SUM(Table1[[#This Row],[yr 7_wl]:[yr 7_pf]])</f>
        <v>3316.0221111091228</v>
      </c>
      <c r="BF51" s="25">
        <f>IF(Table1[[#This Row],[Years_Next_Rehab_Well]]=8,VLOOKUP(Table1[[#This Row],[Item_Rehab_WL]],[1]!Table2[#All],11,FALSE),0)</f>
        <v>0</v>
      </c>
      <c r="BG51" s="25">
        <f>IF(Table1[[#This Row],[Adjusted_ULife_HP]]=8,VLOOKUP(Table1[[#This Row],[Item_Handpump]],[1]!Table2[#All],11,FALSE),0)</f>
        <v>0</v>
      </c>
      <c r="BH51" s="25">
        <f>IF(Table1[[#This Row],[Adjusted_ULife_PF]]=8,VLOOKUP(Table1[[#This Row],[Item_Platform]],[1]!Table2[#All],11,FALSE),0)</f>
        <v>0</v>
      </c>
      <c r="BI51" s="25">
        <f>SUM(Table1[[#This Row],[yr 8_wl]:[yr 8_pf]])</f>
        <v>0</v>
      </c>
      <c r="BJ51" s="25">
        <f>IF(Table1[[#This Row],[Years_Next_Rehab_Well]]=9,VLOOKUP(Table1[[#This Row],[Item_Rehab_WL]],[1]!Table2[#All],12,FALSE),0)</f>
        <v>0</v>
      </c>
      <c r="BK51" s="25">
        <f>IF(Table1[[#This Row],[Adjusted_ULife_HP]]=9,VLOOKUP(Table1[[#This Row],[Item_Handpump]],[1]!Table2[#All],12,FALSE),0)</f>
        <v>0</v>
      </c>
      <c r="BL51" s="25">
        <f>IF(Table1[[#This Row],[Adjusted_ULife_PF]]=9,VLOOKUP(Table1[[#This Row],[Item_Platform]],[1]!Table2[#All],12,FALSE),0)</f>
        <v>0</v>
      </c>
      <c r="BM51" s="25">
        <f>SUM(Table1[[#This Row],[yr 9_wl]:[yr 9_pf]])</f>
        <v>0</v>
      </c>
      <c r="BN51" s="25">
        <f>IF(Table1[[#This Row],[Years_Next_Rehab_Well]]=10,VLOOKUP(Table1[[#This Row],[Item_Rehab_WL]],[1]!Table2[#All],13,FALSE),0)</f>
        <v>0</v>
      </c>
      <c r="BO51" s="25">
        <f>IF(Table1[[#This Row],[Adjusted_ULife_HP]]=10,VLOOKUP(Table1[[#This Row],[Item_Handpump]],[1]!Table2[#All],13,FALSE),0)</f>
        <v>0</v>
      </c>
      <c r="BP51" s="25">
        <f>IF(Table1[[#This Row],[Adjusted_ULife_PF]]=10,VLOOKUP(Table1[[#This Row],[Item_Platform]],[1]!Table2[#All],13,FALSE),0)</f>
        <v>0</v>
      </c>
      <c r="BQ51" s="25">
        <f>SUM(Table1[[#This Row],[yr 10_wl]:[yr 10_pf]])</f>
        <v>0</v>
      </c>
      <c r="BR51" s="25">
        <f>IF(Table1[[#This Row],[Years_Next_Rehab_Well]]=11,VLOOKUP(Table1[[#This Row],[Item_Rehab_WL]],[1]!Table2[#All],14,FALSE),0)</f>
        <v>0</v>
      </c>
      <c r="BS51" s="25">
        <f>IF(Table1[[#This Row],[Adjusted_ULife_HP]]=11,VLOOKUP(Table1[[#This Row],[Item_Handpump]],[1]!Table2[#All],14,FALSE),0)</f>
        <v>0</v>
      </c>
      <c r="BT51" s="25">
        <f>IF(Table1[[#This Row],[Adjusted_ULife_PF]]=11,VLOOKUP(Table1[[#This Row],[Item_Platform]],[1]!Table2[#All],14,FALSE),0)</f>
        <v>0</v>
      </c>
      <c r="BU51" s="25">
        <f>SUM(Table1[[#This Row],[yr 11_wl]:[yr 11_pf]])</f>
        <v>0</v>
      </c>
      <c r="BV51" s="25">
        <f>IF(Table1[[#This Row],[Years_Next_Rehab_Well]]=12,VLOOKUP(Table1[[#This Row],[Item_Rehab_WL]],[1]!Table2[#All],15,FALSE),0)</f>
        <v>0</v>
      </c>
      <c r="BW51" s="25">
        <f>IF(Table1[[#This Row],[Adjusted_ULife_HP]]=12,VLOOKUP(Table1[[#This Row],[Item_Handpump]],[1]!Table2[#All],15,FALSE),0)</f>
        <v>0</v>
      </c>
      <c r="BX51" s="25">
        <f>IF(Table1[[#This Row],[Adjusted_ULife_PF]]=12,VLOOKUP(Table1[[#This Row],[Item_Platform]],[1]!Table2[#All],15,FALSE),0)</f>
        <v>0</v>
      </c>
      <c r="BY51" s="25">
        <f>SUM(Table1[[#This Row],[yr 12_wl]:[yr 12_pf]])</f>
        <v>0</v>
      </c>
      <c r="BZ51" s="25">
        <f>IF(Table1[[#This Row],[Years_Next_Rehab_Well]]=13,VLOOKUP(Table1[[#This Row],[Item_Rehab_WL]],[1]!Table2[#All],16,FALSE),0)</f>
        <v>0</v>
      </c>
      <c r="CA51" s="25">
        <f>IF(Table1[[#This Row],[Adjusted_ULife_HP]]=13,VLOOKUP(Table1[[#This Row],[Item_Handpump]],[1]!Table2[#All],16,FALSE),0)</f>
        <v>0</v>
      </c>
      <c r="CB51" s="25">
        <f>IF(Table1[[#This Row],[Adjusted_ULife_PF]]=13,VLOOKUP(Table1[[#This Row],[Item_Platform]],[1]!Table2[#All],16,FALSE),0)</f>
        <v>0</v>
      </c>
      <c r="CC51" s="25">
        <f>SUM(Table1[[#This Row],[yr 13_wl]:[yr 13_pf]])</f>
        <v>0</v>
      </c>
      <c r="CD51" s="12"/>
    </row>
    <row r="52" spans="1:82" s="11" customFormat="1" x14ac:dyDescent="0.25">
      <c r="A52" s="11" t="str">
        <f>IF([1]Input_monitoring_data!A48="","",[1]Input_monitoring_data!A48)</f>
        <v>7wh1-hf1v-4dn4</v>
      </c>
      <c r="B52" s="22" t="str">
        <f>[1]Input_monitoring_data!BH48</f>
        <v>Gambia</v>
      </c>
      <c r="C52" s="22" t="str">
        <f>[1]Input_monitoring_data!BI48</f>
        <v>Besease</v>
      </c>
      <c r="D52" s="22" t="str">
        <f>[1]Input_monitoring_data!P48</f>
        <v>7.058892295767326</v>
      </c>
      <c r="E52" s="22" t="str">
        <f>[1]Input_monitoring_data!Q48</f>
        <v>-2.6547547295673497</v>
      </c>
      <c r="F52" s="22" t="str">
        <f>[1]Input_monitoring_data!V48</f>
        <v>R.c Church Premises</v>
      </c>
      <c r="G52" s="23" t="str">
        <f>[1]Input_monitoring_data!U48</f>
        <v>Borehole</v>
      </c>
      <c r="H52" s="22">
        <f>[1]Input_monitoring_data!X48</f>
        <v>2010</v>
      </c>
      <c r="I52" s="21" t="str">
        <f>[1]Input_monitoring_data!AB48</f>
        <v>Borehole redevelopment</v>
      </c>
      <c r="J52" s="21">
        <f>[1]Input_monitoring_data!AC48</f>
        <v>0</v>
      </c>
      <c r="K52" s="23" t="str">
        <f>[1]Input_monitoring_data!W48</f>
        <v>AfriDev</v>
      </c>
      <c r="L52" s="22">
        <f>[1]Input_monitoring_data!X48</f>
        <v>2010</v>
      </c>
      <c r="M52" s="21" t="str">
        <f>IF([1]Input_monitoring_data!BL48&gt;'Point Sources_Asset_Register_'!L52,[1]Input_monitoring_data!BL48,"")</f>
        <v/>
      </c>
      <c r="N52" s="22" t="str">
        <f>[1]Input_monitoring_data!BQ48</f>
        <v>functional</v>
      </c>
      <c r="O52" s="22">
        <f>[1]Input_monitoring_data!AJ48</f>
        <v>0</v>
      </c>
      <c r="P52" s="23" t="s">
        <v>0</v>
      </c>
      <c r="Q52" s="22">
        <f>L52</f>
        <v>2010</v>
      </c>
      <c r="R52" s="21" t="str">
        <f>M52</f>
        <v/>
      </c>
      <c r="S52" s="20">
        <f>[1]Input_EUL_CRC_ERC!$B$17-Table1[[#This Row],[Year Installed_WL]]</f>
        <v>7</v>
      </c>
      <c r="T52" s="20">
        <f>[1]Input_EUL_CRC_ERC!$B$17-(IF(Table1[[#This Row],[Year Last_Rehab_WL ]]=0,Table1[[#This Row],[Year Installed_WL]],[1]Input_EUL_CRC_ERC!$B$17-Table1[[#This Row],[Year Last_Rehab_WL ]]))</f>
        <v>7</v>
      </c>
      <c r="U52" s="20">
        <f>(VLOOKUP(Table1[[#This Row],[Item_Rehab_WL]],[1]Input_EUL_CRC_ERC!$C$17:$E$27,2,FALSE)-Table1[[#This Row],[Last Rehab Age]])</f>
        <v>8</v>
      </c>
      <c r="V52" s="19">
        <f>[1]Input_EUL_CRC_ERC!$B$17-Table1[[#This Row],[Year Installed_HP]]</f>
        <v>7</v>
      </c>
      <c r="W52" s="19">
        <f>(VLOOKUP(Table1[[#This Row],[Item_Handpump]],[1]!Table2[#All],2,FALSE))-(IF(Table1[[#This Row],[Year Last_Rehab_HP]]="",Table1[[#This Row],[Current Age_Handpump]],[1]Input_EUL_CRC_ERC!$B$17-Table1[[#This Row],[Year Last_Rehab_HP]]))</f>
        <v>13</v>
      </c>
      <c r="X52" s="19">
        <f>[1]Input_EUL_CRC_ERC!$B$17-Table1[[#This Row],[Year Installed_PF]]</f>
        <v>7</v>
      </c>
      <c r="Y52" s="19">
        <f>(VLOOKUP(Table1[[#This Row],[Item_Platform]],[1]!Table2[#All],2,FALSE))-(IF(Table1[[#This Row],[Year Last_Rehab_PF]]="",Table1[[#This Row],[Current Age_Platform]],[1]Input_EUL_CRC_ERC!$B$17-Table1[[#This Row],[Year Last_Rehab_PF]]))</f>
        <v>3</v>
      </c>
      <c r="Z52" s="25">
        <f>IF(Table1[[#This Row],[Years_Next_Rehab_Well]]&lt;=0,VLOOKUP(Table1[[#This Row],[Item_Rehab_WL]],[1]!Table2[#All],3,FALSE),0)</f>
        <v>0</v>
      </c>
      <c r="AA52" s="18">
        <f>IF(Table1[[#This Row],[Adjusted_ULife_HP]]&lt;=0,VLOOKUP(Table1[[#This Row],[Item_Handpump]],[1]!Table2[#All],3,FALSE),0)</f>
        <v>0</v>
      </c>
      <c r="AB52" s="18">
        <f>IF(Table1[[#This Row],[Adjusted_ULife_PF]]&lt;=0,VLOOKUP(Table1[[#This Row],[Item_Platform]],[1]!Table2[#All],3,FALSE),0)</f>
        <v>0</v>
      </c>
      <c r="AC52" s="18">
        <f>SUM(Table1[[#This Row],[current yr_wl]:[current yr_pf]])</f>
        <v>0</v>
      </c>
      <c r="AD52" s="25">
        <f>IF(Table1[[#This Row],[Years_Next_Rehab_Well]]=1,VLOOKUP(Table1[[#This Row],[Item_Rehab_WL]],[1]!Table2[#All],4,FALSE),0)</f>
        <v>0</v>
      </c>
      <c r="AE52" s="25">
        <f>IF(Table1[[#This Row],[Adjusted_ULife_HP]]=1,VLOOKUP(Table1[[#This Row],[Item_Handpump]],[1]!Table2[#All],4,FALSE),0)</f>
        <v>0</v>
      </c>
      <c r="AF52" s="25">
        <f>IF(Table1[[#This Row],[Adjusted_ULife_PF]]=1,VLOOKUP(Table1[[#This Row],[Item_Platform]],[1]!Table2[#All],4,FALSE),0)</f>
        <v>0</v>
      </c>
      <c r="AG52" s="25">
        <f>SUM(Table1[[#This Row],[yr 1_wl]:[yr 1_pf]])</f>
        <v>0</v>
      </c>
      <c r="AH52" s="25">
        <f>IF(Table1[[#This Row],[Years_Next_Rehab_Well]]=2,VLOOKUP(Table1[[#This Row],[Item_Rehab_WL]],[1]!Table2[#All],5,FALSE),0)</f>
        <v>0</v>
      </c>
      <c r="AI52" s="25">
        <f>IF(Table1[[#This Row],[Adjusted_ULife_HP]]=2,VLOOKUP(Table1[[#This Row],[Item_Handpump]],[1]!Table2[#All],5,FALSE),0)</f>
        <v>0</v>
      </c>
      <c r="AJ52" s="25">
        <f>IF(Table1[[#This Row],[Adjusted_ULife_PF]]=2,VLOOKUP(Table1[[#This Row],[Item_Platform]],[1]!Table2[#All],5,FALSE),0)</f>
        <v>0</v>
      </c>
      <c r="AK52" s="25">
        <f>SUM(Table1[[#This Row],[yr 2_wl]:[yr 2_pf]])</f>
        <v>0</v>
      </c>
      <c r="AL52" s="25">
        <f>IF(Table1[[#This Row],[Years_Next_Rehab_Well]]=3,VLOOKUP(Table1[[#This Row],[Item_Rehab_WL]],[1]!Table2[#All],6,FALSE),0)</f>
        <v>0</v>
      </c>
      <c r="AM52" s="25">
        <f>IF(Table1[[#This Row],[Adjusted_ULife_HP]]=3,VLOOKUP(Table1[[#This Row],[Item_Handpump]],[1]!Table2[#All],6,FALSE),0)</f>
        <v>0</v>
      </c>
      <c r="AN52" s="25">
        <f>IF(Table1[[#This Row],[Adjusted_ULife_PF]]=3,VLOOKUP(Table1[[#This Row],[Item_Platform]],[1]!Table2[#All],6,FALSE),0)</f>
        <v>2107.3920000000007</v>
      </c>
      <c r="AO52" s="25">
        <f>SUM(Table1[[#This Row],[yr 3_wl]:[yr 3_pf]])</f>
        <v>2107.3920000000007</v>
      </c>
      <c r="AP52" s="25">
        <f>IF(Table1[[#This Row],[Years_Next_Rehab_Well]]=4,VLOOKUP(Table1[[#This Row],[Item_Rehab_WL]],[1]!Table2[#All],7,FALSE),0)</f>
        <v>0</v>
      </c>
      <c r="AQ52" s="25">
        <f>IF(Table1[[#This Row],[Adjusted_ULife_HP]]=4,VLOOKUP(Table1[[#This Row],[Item_Handpump]],[1]!Table2[#All],7,FALSE),0)</f>
        <v>0</v>
      </c>
      <c r="AR52" s="25">
        <f>IF(Table1[[#This Row],[Adjusted_ULife_PF]]=4,VLOOKUP(Table1[[#This Row],[Item_Platform]],[1]!Table2[#All],7,FALSE),0)</f>
        <v>0</v>
      </c>
      <c r="AS52" s="25">
        <f>SUM(Table1[[#This Row],[yr 4_wl]:[yr 4_pf]])</f>
        <v>0</v>
      </c>
      <c r="AT52" s="25">
        <f>IF(Table1[[#This Row],[Years_Next_Rehab_Well]]=5,VLOOKUP(Table1[[#This Row],[Item_Rehab_WL]],[1]!Table2[#All],8,FALSE),0)</f>
        <v>0</v>
      </c>
      <c r="AU52" s="25">
        <f>IF(Table1[[#This Row],[Adjusted_ULife_HP]]=5,VLOOKUP(Table1[[#This Row],[Item_Handpump]],[1]!Table2[#All],8,FALSE),0)</f>
        <v>0</v>
      </c>
      <c r="AV52" s="25">
        <f>IF(Table1[[#This Row],[Adjusted_ULife_PF]]=5,VLOOKUP(Table1[[#This Row],[Item_Platform]],[1]!Table2[#All],8,FALSE),0)</f>
        <v>0</v>
      </c>
      <c r="AW52" s="25">
        <f>SUM(Table1[[#This Row],[yr 5_wl]:[yr 5_pf]])</f>
        <v>0</v>
      </c>
      <c r="AX52" s="25">
        <f>IF(Table1[[#This Row],[Years_Next_Rehab_Well]]=6,VLOOKUP(Table1[[#This Row],[Item_Rehab_WL]],[1]!Table2[#All],9,FALSE),0)</f>
        <v>0</v>
      </c>
      <c r="AY52" s="25">
        <f>IF(Table1[[#This Row],[Adjusted_ULife_HP]]=6,VLOOKUP(Table1[[#This Row],[Item_Handpump]],[1]!Table2[#All],9,FALSE),0)</f>
        <v>0</v>
      </c>
      <c r="AZ52" s="25">
        <f>IF(Table1[[#This Row],[Adjusted_ULife_PF]]=6,VLOOKUP(Table1[[#This Row],[Item_Platform]],[1]!Table2[#All],9,FALSE),0)</f>
        <v>0</v>
      </c>
      <c r="BA52" s="25">
        <f>SUM(Table1[[#This Row],[yr 6_wl]:[yr 6_pf]])</f>
        <v>0</v>
      </c>
      <c r="BB52" s="25">
        <f>IF(Table1[[#This Row],[Years_Next_Rehab_Well]]=7,VLOOKUP(Table1[[#This Row],[Item_Rehab_WL]],[1]!Table2[#All],10,FALSE),0)</f>
        <v>0</v>
      </c>
      <c r="BC52" s="25">
        <f>IF(Table1[[#This Row],[Adjusted_ULife_HP]]=7,VLOOKUP(Table1[[#This Row],[Item_Handpump]],[1]!Table2[#All],10,FALSE),0)</f>
        <v>0</v>
      </c>
      <c r="BD52" s="25">
        <f>IF(Table1[[#This Row],[Adjusted_ULife_PF]]=7,VLOOKUP(Table1[[#This Row],[Item_Platform]],[1]!Table2[#All],10,FALSE),0)</f>
        <v>0</v>
      </c>
      <c r="BE52" s="25">
        <f>SUM(Table1[[#This Row],[yr 7_wl]:[yr 7_pf]])</f>
        <v>0</v>
      </c>
      <c r="BF52" s="25">
        <f>IF(Table1[[#This Row],[Years_Next_Rehab_Well]]=8,VLOOKUP(Table1[[#This Row],[Item_Rehab_WL]],[1]!Table2[#All],11,FALSE),0)</f>
        <v>9078.5316464143089</v>
      </c>
      <c r="BG52" s="25">
        <f>IF(Table1[[#This Row],[Adjusted_ULife_HP]]=8,VLOOKUP(Table1[[#This Row],[Item_Handpump]],[1]!Table2[#All],11,FALSE),0)</f>
        <v>0</v>
      </c>
      <c r="BH52" s="25">
        <f>IF(Table1[[#This Row],[Adjusted_ULife_PF]]=8,VLOOKUP(Table1[[#This Row],[Item_Platform]],[1]!Table2[#All],11,FALSE),0)</f>
        <v>0</v>
      </c>
      <c r="BI52" s="25">
        <f>SUM(Table1[[#This Row],[yr 8_wl]:[yr 8_pf]])</f>
        <v>9078.5316464143089</v>
      </c>
      <c r="BJ52" s="25">
        <f>IF(Table1[[#This Row],[Years_Next_Rehab_Well]]=9,VLOOKUP(Table1[[#This Row],[Item_Rehab_WL]],[1]!Table2[#All],12,FALSE),0)</f>
        <v>0</v>
      </c>
      <c r="BK52" s="25">
        <f>IF(Table1[[#This Row],[Adjusted_ULife_HP]]=9,VLOOKUP(Table1[[#This Row],[Item_Handpump]],[1]!Table2[#All],12,FALSE),0)</f>
        <v>0</v>
      </c>
      <c r="BL52" s="25">
        <f>IF(Table1[[#This Row],[Adjusted_ULife_PF]]=9,VLOOKUP(Table1[[#This Row],[Item_Platform]],[1]!Table2[#All],12,FALSE),0)</f>
        <v>0</v>
      </c>
      <c r="BM52" s="25">
        <f>SUM(Table1[[#This Row],[yr 9_wl]:[yr 9_pf]])</f>
        <v>0</v>
      </c>
      <c r="BN52" s="25">
        <f>IF(Table1[[#This Row],[Years_Next_Rehab_Well]]=10,VLOOKUP(Table1[[#This Row],[Item_Rehab_WL]],[1]!Table2[#All],13,FALSE),0)</f>
        <v>0</v>
      </c>
      <c r="BO52" s="25">
        <f>IF(Table1[[#This Row],[Adjusted_ULife_HP]]=10,VLOOKUP(Table1[[#This Row],[Item_Handpump]],[1]!Table2[#All],13,FALSE),0)</f>
        <v>0</v>
      </c>
      <c r="BP52" s="25">
        <f>IF(Table1[[#This Row],[Adjusted_ULife_PF]]=10,VLOOKUP(Table1[[#This Row],[Item_Platform]],[1]!Table2[#All],13,FALSE),0)</f>
        <v>0</v>
      </c>
      <c r="BQ52" s="25">
        <f>SUM(Table1[[#This Row],[yr 10_wl]:[yr 10_pf]])</f>
        <v>0</v>
      </c>
      <c r="BR52" s="25">
        <f>IF(Table1[[#This Row],[Years_Next_Rehab_Well]]=11,VLOOKUP(Table1[[#This Row],[Item_Rehab_WL]],[1]!Table2[#All],14,FALSE),0)</f>
        <v>0</v>
      </c>
      <c r="BS52" s="25">
        <f>IF(Table1[[#This Row],[Adjusted_ULife_HP]]=11,VLOOKUP(Table1[[#This Row],[Item_Handpump]],[1]!Table2[#All],14,FALSE),0)</f>
        <v>0</v>
      </c>
      <c r="BT52" s="25">
        <f>IF(Table1[[#This Row],[Adjusted_ULife_PF]]=11,VLOOKUP(Table1[[#This Row],[Item_Platform]],[1]!Table2[#All],14,FALSE),0)</f>
        <v>0</v>
      </c>
      <c r="BU52" s="25">
        <f>SUM(Table1[[#This Row],[yr 11_wl]:[yr 11_pf]])</f>
        <v>0</v>
      </c>
      <c r="BV52" s="25">
        <f>IF(Table1[[#This Row],[Years_Next_Rehab_Well]]=12,VLOOKUP(Table1[[#This Row],[Item_Rehab_WL]],[1]!Table2[#All],15,FALSE),0)</f>
        <v>0</v>
      </c>
      <c r="BW52" s="25">
        <f>IF(Table1[[#This Row],[Adjusted_ULife_HP]]=12,VLOOKUP(Table1[[#This Row],[Item_Handpump]],[1]!Table2[#All],15,FALSE),0)</f>
        <v>0</v>
      </c>
      <c r="BX52" s="25">
        <f>IF(Table1[[#This Row],[Adjusted_ULife_PF]]=12,VLOOKUP(Table1[[#This Row],[Item_Platform]],[1]!Table2[#All],15,FALSE),0)</f>
        <v>0</v>
      </c>
      <c r="BY52" s="25">
        <f>SUM(Table1[[#This Row],[yr 12_wl]:[yr 12_pf]])</f>
        <v>0</v>
      </c>
      <c r="BZ52" s="25">
        <f>IF(Table1[[#This Row],[Years_Next_Rehab_Well]]=13,VLOOKUP(Table1[[#This Row],[Item_Rehab_WL]],[1]!Table2[#All],16,FALSE),0)</f>
        <v>0</v>
      </c>
      <c r="CA52" s="25">
        <f>IF(Table1[[#This Row],[Adjusted_ULife_HP]]=13,VLOOKUP(Table1[[#This Row],[Item_Handpump]],[1]!Table2[#All],16,FALSE),0)</f>
        <v>1745.3972446610471</v>
      </c>
      <c r="CB52" s="25">
        <f>IF(Table1[[#This Row],[Adjusted_ULife_PF]]=13,VLOOKUP(Table1[[#This Row],[Item_Platform]],[1]!Table2[#All],16,FALSE),0)</f>
        <v>0</v>
      </c>
      <c r="CC52" s="25">
        <f>SUM(Table1[[#This Row],[yr 13_wl]:[yr 13_pf]])</f>
        <v>1745.3972446610471</v>
      </c>
      <c r="CD52" s="12"/>
    </row>
    <row r="53" spans="1:82" s="11" customFormat="1" x14ac:dyDescent="0.25">
      <c r="A53" s="11" t="str">
        <f>IF([1]Input_monitoring_data!A49="","",[1]Input_monitoring_data!A49)</f>
        <v>8124-fv0s-1ru7</v>
      </c>
      <c r="B53" s="22" t="str">
        <f>[1]Input_monitoring_data!BH49</f>
        <v>Kenyasi No.1</v>
      </c>
      <c r="C53" s="22" t="str">
        <f>[1]Input_monitoring_data!BI49</f>
        <v>Adukrom</v>
      </c>
      <c r="D53" s="22" t="str">
        <f>[1]Input_monitoring_data!P49</f>
        <v>6.959168210716699</v>
      </c>
      <c r="E53" s="22" t="str">
        <f>[1]Input_monitoring_data!Q49</f>
        <v>-2.4357606898816013</v>
      </c>
      <c r="F53" s="22" t="str">
        <f>[1]Input_monitoring_data!V49</f>
        <v>Adjacent Haloo's House</v>
      </c>
      <c r="G53" s="23" t="str">
        <f>[1]Input_monitoring_data!U49</f>
        <v>Hand dug well</v>
      </c>
      <c r="H53" s="22">
        <f>[1]Input_monitoring_data!X49</f>
        <v>2012</v>
      </c>
      <c r="I53" s="21" t="str">
        <f>[1]Input_monitoring_data!AB49</f>
        <v>Borehole redevelopment</v>
      </c>
      <c r="J53" s="21">
        <f>[1]Input_monitoring_data!AC49</f>
        <v>0</v>
      </c>
      <c r="K53" s="23" t="str">
        <f>[1]Input_monitoring_data!W49</f>
        <v>Nira AF-85</v>
      </c>
      <c r="L53" s="22">
        <f>[1]Input_monitoring_data!X49</f>
        <v>2012</v>
      </c>
      <c r="M53" s="21" t="str">
        <f>IF([1]Input_monitoring_data!BL49&gt;'Point Sources_Asset_Register_'!L53,[1]Input_monitoring_data!BL49,"")</f>
        <v/>
      </c>
      <c r="N53" s="22" t="str">
        <f>[1]Input_monitoring_data!BQ49</f>
        <v>not functional</v>
      </c>
      <c r="O53" s="22">
        <f>[1]Input_monitoring_data!AJ49</f>
        <v>0</v>
      </c>
      <c r="P53" s="23" t="s">
        <v>0</v>
      </c>
      <c r="Q53" s="22">
        <f>L53</f>
        <v>2012</v>
      </c>
      <c r="R53" s="21" t="str">
        <f>M53</f>
        <v/>
      </c>
      <c r="S53" s="20">
        <f>[1]Input_EUL_CRC_ERC!$B$17-Table1[[#This Row],[Year Installed_WL]]</f>
        <v>5</v>
      </c>
      <c r="T53" s="20">
        <f>[1]Input_EUL_CRC_ERC!$B$17-(IF(Table1[[#This Row],[Year Last_Rehab_WL ]]=0,Table1[[#This Row],[Year Installed_WL]],[1]Input_EUL_CRC_ERC!$B$17-Table1[[#This Row],[Year Last_Rehab_WL ]]))</f>
        <v>5</v>
      </c>
      <c r="U53" s="20">
        <f>(VLOOKUP(Table1[[#This Row],[Item_Rehab_WL]],[1]Input_EUL_CRC_ERC!$C$17:$E$27,2,FALSE)-Table1[[#This Row],[Last Rehab Age]])</f>
        <v>10</v>
      </c>
      <c r="V53" s="19">
        <f>[1]Input_EUL_CRC_ERC!$B$17-Table1[[#This Row],[Year Installed_HP]]</f>
        <v>5</v>
      </c>
      <c r="W53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53" s="19">
        <f>[1]Input_EUL_CRC_ERC!$B$17-Table1[[#This Row],[Year Installed_PF]]</f>
        <v>5</v>
      </c>
      <c r="Y53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53" s="25">
        <f>IF(Table1[[#This Row],[Years_Next_Rehab_Well]]&lt;=0,VLOOKUP(Table1[[#This Row],[Item_Rehab_WL]],[1]!Table2[#All],3,FALSE),0)</f>
        <v>0</v>
      </c>
      <c r="AA53" s="18">
        <f>IF(Table1[[#This Row],[Adjusted_ULife_HP]]&lt;=0,VLOOKUP(Table1[[#This Row],[Item_Handpump]],[1]!Table2[#All],3,FALSE),0)</f>
        <v>0</v>
      </c>
      <c r="AB53" s="18">
        <f>IF(Table1[[#This Row],[Adjusted_ULife_PF]]&lt;=0,VLOOKUP(Table1[[#This Row],[Item_Platform]],[1]!Table2[#All],3,FALSE),0)</f>
        <v>0</v>
      </c>
      <c r="AC53" s="18">
        <f>SUM(Table1[[#This Row],[current yr_wl]:[current yr_pf]])</f>
        <v>0</v>
      </c>
      <c r="AD53" s="25">
        <f>IF(Table1[[#This Row],[Years_Next_Rehab_Well]]=1,VLOOKUP(Table1[[#This Row],[Item_Rehab_WL]],[1]!Table2[#All],4,FALSE),0)</f>
        <v>0</v>
      </c>
      <c r="AE53" s="25">
        <f>IF(Table1[[#This Row],[Adjusted_ULife_HP]]=1,VLOOKUP(Table1[[#This Row],[Item_Handpump]],[1]!Table2[#All],4,FALSE),0)</f>
        <v>0</v>
      </c>
      <c r="AF53" s="25">
        <f>IF(Table1[[#This Row],[Adjusted_ULife_PF]]=1,VLOOKUP(Table1[[#This Row],[Item_Platform]],[1]!Table2[#All],4,FALSE),0)</f>
        <v>0</v>
      </c>
      <c r="AG53" s="25">
        <f>SUM(Table1[[#This Row],[yr 1_wl]:[yr 1_pf]])</f>
        <v>0</v>
      </c>
      <c r="AH53" s="25">
        <f>IF(Table1[[#This Row],[Years_Next_Rehab_Well]]=2,VLOOKUP(Table1[[#This Row],[Item_Rehab_WL]],[1]!Table2[#All],5,FALSE),0)</f>
        <v>0</v>
      </c>
      <c r="AI53" s="25">
        <f>IF(Table1[[#This Row],[Adjusted_ULife_HP]]=2,VLOOKUP(Table1[[#This Row],[Item_Handpump]],[1]!Table2[#All],5,FALSE),0)</f>
        <v>0</v>
      </c>
      <c r="AJ53" s="25">
        <f>IF(Table1[[#This Row],[Adjusted_ULife_PF]]=2,VLOOKUP(Table1[[#This Row],[Item_Platform]],[1]!Table2[#All],5,FALSE),0)</f>
        <v>0</v>
      </c>
      <c r="AK53" s="25">
        <f>SUM(Table1[[#This Row],[yr 2_wl]:[yr 2_pf]])</f>
        <v>0</v>
      </c>
      <c r="AL53" s="25">
        <f>IF(Table1[[#This Row],[Years_Next_Rehab_Well]]=3,VLOOKUP(Table1[[#This Row],[Item_Rehab_WL]],[1]!Table2[#All],6,FALSE),0)</f>
        <v>0</v>
      </c>
      <c r="AM53" s="25">
        <f>IF(Table1[[#This Row],[Adjusted_ULife_HP]]=3,VLOOKUP(Table1[[#This Row],[Item_Handpump]],[1]!Table2[#All],6,FALSE),0)</f>
        <v>0</v>
      </c>
      <c r="AN53" s="25">
        <f>IF(Table1[[#This Row],[Adjusted_ULife_PF]]=3,VLOOKUP(Table1[[#This Row],[Item_Platform]],[1]!Table2[#All],6,FALSE),0)</f>
        <v>0</v>
      </c>
      <c r="AO53" s="25">
        <f>SUM(Table1[[#This Row],[yr 3_wl]:[yr 3_pf]])</f>
        <v>0</v>
      </c>
      <c r="AP53" s="25">
        <f>IF(Table1[[#This Row],[Years_Next_Rehab_Well]]=4,VLOOKUP(Table1[[#This Row],[Item_Rehab_WL]],[1]!Table2[#All],7,FALSE),0)</f>
        <v>0</v>
      </c>
      <c r="AQ53" s="25">
        <f>IF(Table1[[#This Row],[Adjusted_ULife_HP]]=4,VLOOKUP(Table1[[#This Row],[Item_Handpump]],[1]!Table2[#All],7,FALSE),0)</f>
        <v>0</v>
      </c>
      <c r="AR53" s="25">
        <f>IF(Table1[[#This Row],[Adjusted_ULife_PF]]=4,VLOOKUP(Table1[[#This Row],[Item_Platform]],[1]!Table2[#All],7,FALSE),0)</f>
        <v>0</v>
      </c>
      <c r="AS53" s="25">
        <f>SUM(Table1[[#This Row],[yr 4_wl]:[yr 4_pf]])</f>
        <v>0</v>
      </c>
      <c r="AT53" s="25">
        <f>IF(Table1[[#This Row],[Years_Next_Rehab_Well]]=5,VLOOKUP(Table1[[#This Row],[Item_Rehab_WL]],[1]!Table2[#All],8,FALSE),0)</f>
        <v>0</v>
      </c>
      <c r="AU53" s="25">
        <f>IF(Table1[[#This Row],[Adjusted_ULife_HP]]=5,VLOOKUP(Table1[[#This Row],[Item_Handpump]],[1]!Table2[#All],8,FALSE),0)</f>
        <v>0</v>
      </c>
      <c r="AV53" s="25">
        <f>IF(Table1[[#This Row],[Adjusted_ULife_PF]]=5,VLOOKUP(Table1[[#This Row],[Item_Platform]],[1]!Table2[#All],8,FALSE),0)</f>
        <v>2643.5125248000018</v>
      </c>
      <c r="AW53" s="25">
        <f>SUM(Table1[[#This Row],[yr 5_wl]:[yr 5_pf]])</f>
        <v>2643.5125248000018</v>
      </c>
      <c r="AX53" s="25">
        <f>IF(Table1[[#This Row],[Years_Next_Rehab_Well]]=6,VLOOKUP(Table1[[#This Row],[Item_Rehab_WL]],[1]!Table2[#All],9,FALSE),0)</f>
        <v>0</v>
      </c>
      <c r="AY53" s="25">
        <f>IF(Table1[[#This Row],[Adjusted_ULife_HP]]=6,VLOOKUP(Table1[[#This Row],[Item_Handpump]],[1]!Table2[#All],9,FALSE),0)</f>
        <v>0</v>
      </c>
      <c r="AZ53" s="25">
        <f>IF(Table1[[#This Row],[Adjusted_ULife_PF]]=6,VLOOKUP(Table1[[#This Row],[Item_Platform]],[1]!Table2[#All],9,FALSE),0)</f>
        <v>0</v>
      </c>
      <c r="BA53" s="25">
        <f>SUM(Table1[[#This Row],[yr 6_wl]:[yr 6_pf]])</f>
        <v>0</v>
      </c>
      <c r="BB53" s="25">
        <f>IF(Table1[[#This Row],[Years_Next_Rehab_Well]]=7,VLOOKUP(Table1[[#This Row],[Item_Rehab_WL]],[1]!Table2[#All],10,FALSE),0)</f>
        <v>0</v>
      </c>
      <c r="BC53" s="25">
        <f>IF(Table1[[#This Row],[Adjusted_ULife_HP]]=7,VLOOKUP(Table1[[#This Row],[Item_Handpump]],[1]!Table2[#All],10,FALSE),0)</f>
        <v>0</v>
      </c>
      <c r="BD53" s="25">
        <f>IF(Table1[[#This Row],[Adjusted_ULife_PF]]=7,VLOOKUP(Table1[[#This Row],[Item_Platform]],[1]!Table2[#All],10,FALSE),0)</f>
        <v>0</v>
      </c>
      <c r="BE53" s="25">
        <f>SUM(Table1[[#This Row],[yr 7_wl]:[yr 7_pf]])</f>
        <v>0</v>
      </c>
      <c r="BF53" s="25">
        <f>IF(Table1[[#This Row],[Years_Next_Rehab_Well]]=8,VLOOKUP(Table1[[#This Row],[Item_Rehab_WL]],[1]!Table2[#All],11,FALSE),0)</f>
        <v>0</v>
      </c>
      <c r="BG53" s="25">
        <f>IF(Table1[[#This Row],[Adjusted_ULife_HP]]=8,VLOOKUP(Table1[[#This Row],[Item_Handpump]],[1]!Table2[#All],11,FALSE),0)</f>
        <v>0</v>
      </c>
      <c r="BH53" s="25">
        <f>IF(Table1[[#This Row],[Adjusted_ULife_PF]]=8,VLOOKUP(Table1[[#This Row],[Item_Platform]],[1]!Table2[#All],11,FALSE),0)</f>
        <v>0</v>
      </c>
      <c r="BI53" s="25">
        <f>SUM(Table1[[#This Row],[yr 8_wl]:[yr 8_pf]])</f>
        <v>0</v>
      </c>
      <c r="BJ53" s="25">
        <f>IF(Table1[[#This Row],[Years_Next_Rehab_Well]]=9,VLOOKUP(Table1[[#This Row],[Item_Rehab_WL]],[1]!Table2[#All],12,FALSE),0)</f>
        <v>0</v>
      </c>
      <c r="BK53" s="25">
        <f>IF(Table1[[#This Row],[Adjusted_ULife_HP]]=9,VLOOKUP(Table1[[#This Row],[Item_Handpump]],[1]!Table2[#All],12,FALSE),0)</f>
        <v>0</v>
      </c>
      <c r="BL53" s="25">
        <f>IF(Table1[[#This Row],[Adjusted_ULife_PF]]=9,VLOOKUP(Table1[[#This Row],[Item_Platform]],[1]!Table2[#All],12,FALSE),0)</f>
        <v>0</v>
      </c>
      <c r="BM53" s="25">
        <f>SUM(Table1[[#This Row],[yr 9_wl]:[yr 9_pf]])</f>
        <v>0</v>
      </c>
      <c r="BN53" s="25">
        <f>IF(Table1[[#This Row],[Years_Next_Rehab_Well]]=10,VLOOKUP(Table1[[#This Row],[Item_Rehab_WL]],[1]!Table2[#All],13,FALSE),0)</f>
        <v>11388.110097262112</v>
      </c>
      <c r="BO53" s="25">
        <f>IF(Table1[[#This Row],[Adjusted_ULife_HP]]=10,VLOOKUP(Table1[[#This Row],[Item_Handpump]],[1]!Table2[#All],13,FALSE),0)</f>
        <v>0</v>
      </c>
      <c r="BP53" s="25">
        <f>IF(Table1[[#This Row],[Adjusted_ULife_PF]]=10,VLOOKUP(Table1[[#This Row],[Item_Platform]],[1]!Table2[#All],13,FALSE),0)</f>
        <v>0</v>
      </c>
      <c r="BQ53" s="25">
        <f>SUM(Table1[[#This Row],[yr 10_wl]:[yr 10_pf]])</f>
        <v>11388.110097262112</v>
      </c>
      <c r="BR53" s="25">
        <f>IF(Table1[[#This Row],[Years_Next_Rehab_Well]]=11,VLOOKUP(Table1[[#This Row],[Item_Rehab_WL]],[1]!Table2[#All],14,FALSE),0)</f>
        <v>0</v>
      </c>
      <c r="BS53" s="25">
        <f>IF(Table1[[#This Row],[Adjusted_ULife_HP]]=11,VLOOKUP(Table1[[#This Row],[Item_Handpump]],[1]!Table2[#All],14,FALSE),0)</f>
        <v>0</v>
      </c>
      <c r="BT53" s="25">
        <f>IF(Table1[[#This Row],[Adjusted_ULife_PF]]=11,VLOOKUP(Table1[[#This Row],[Item_Platform]],[1]!Table2[#All],14,FALSE),0)</f>
        <v>0</v>
      </c>
      <c r="BU53" s="25">
        <f>SUM(Table1[[#This Row],[yr 11_wl]:[yr 11_pf]])</f>
        <v>0</v>
      </c>
      <c r="BV53" s="25">
        <f>IF(Table1[[#This Row],[Years_Next_Rehab_Well]]=12,VLOOKUP(Table1[[#This Row],[Item_Rehab_WL]],[1]!Table2[#All],15,FALSE),0)</f>
        <v>0</v>
      </c>
      <c r="BW53" s="25">
        <f>IF(Table1[[#This Row],[Adjusted_ULife_HP]]=12,VLOOKUP(Table1[[#This Row],[Item_Handpump]],[1]!Table2[#All],15,FALSE),0)</f>
        <v>0</v>
      </c>
      <c r="BX53" s="25">
        <f>IF(Table1[[#This Row],[Adjusted_ULife_PF]]=12,VLOOKUP(Table1[[#This Row],[Item_Platform]],[1]!Table2[#All],15,FALSE),0)</f>
        <v>0</v>
      </c>
      <c r="BY53" s="25">
        <f>SUM(Table1[[#This Row],[yr 12_wl]:[yr 12_pf]])</f>
        <v>0</v>
      </c>
      <c r="BZ53" s="25">
        <f>IF(Table1[[#This Row],[Years_Next_Rehab_Well]]=13,VLOOKUP(Table1[[#This Row],[Item_Rehab_WL]],[1]!Table2[#All],16,FALSE),0)</f>
        <v>0</v>
      </c>
      <c r="CA53" s="25">
        <f>IF(Table1[[#This Row],[Adjusted_ULife_HP]]=13,VLOOKUP(Table1[[#This Row],[Item_Handpump]],[1]!Table2[#All],16,FALSE),0)</f>
        <v>0</v>
      </c>
      <c r="CB53" s="25">
        <f>IF(Table1[[#This Row],[Adjusted_ULife_PF]]=13,VLOOKUP(Table1[[#This Row],[Item_Platform]],[1]!Table2[#All],16,FALSE),0)</f>
        <v>0</v>
      </c>
      <c r="CC53" s="25">
        <f>SUM(Table1[[#This Row],[yr 13_wl]:[yr 13_pf]])</f>
        <v>0</v>
      </c>
      <c r="CD53" s="12"/>
    </row>
    <row r="54" spans="1:82" s="11" customFormat="1" x14ac:dyDescent="0.25">
      <c r="A54" s="11" t="str">
        <f>IF([1]Input_monitoring_data!A50="","",[1]Input_monitoring_data!A50)</f>
        <v>8p9e-gus1-nr2</v>
      </c>
      <c r="B54" s="22" t="str">
        <f>[1]Input_monitoring_data!BH50</f>
        <v>Goamu</v>
      </c>
      <c r="C54" s="22" t="str">
        <f>[1]Input_monitoring_data!BI50</f>
        <v>Forest Ano</v>
      </c>
      <c r="D54" s="22" t="str">
        <f>[1]Input_monitoring_data!P50</f>
        <v>7.082903938567181</v>
      </c>
      <c r="E54" s="22" t="str">
        <f>[1]Input_monitoring_data!Q50</f>
        <v>-2.425905259662292</v>
      </c>
      <c r="F54" s="22" t="str">
        <f>[1]Input_monitoring_data!V50</f>
        <v>Agya Laare's Village</v>
      </c>
      <c r="G54" s="23" t="str">
        <f>[1]Input_monitoring_data!U50</f>
        <v>Borehole</v>
      </c>
      <c r="H54" s="22">
        <f>[1]Input_monitoring_data!X50</f>
        <v>2013</v>
      </c>
      <c r="I54" s="21" t="str">
        <f>[1]Input_monitoring_data!AB50</f>
        <v>Borehole redevelopment</v>
      </c>
      <c r="J54" s="21">
        <f>[1]Input_monitoring_data!AC50</f>
        <v>0</v>
      </c>
      <c r="K54" s="23" t="str">
        <f>[1]Input_monitoring_data!W50</f>
        <v>Solar Pump</v>
      </c>
      <c r="L54" s="22">
        <f>[1]Input_monitoring_data!X50</f>
        <v>2013</v>
      </c>
      <c r="M54" s="21">
        <f>IF([1]Input_monitoring_data!BL50&gt;'Point Sources_Asset_Register_'!L54,[1]Input_monitoring_data!BL50,"")</f>
        <v>2017</v>
      </c>
      <c r="N54" s="22" t="str">
        <f>[1]Input_monitoring_data!BQ50</f>
        <v>functional</v>
      </c>
      <c r="O54" s="22">
        <f>[1]Input_monitoring_data!AJ50</f>
        <v>0</v>
      </c>
      <c r="P54" s="23" t="s">
        <v>0</v>
      </c>
      <c r="Q54" s="22">
        <f>L54</f>
        <v>2013</v>
      </c>
      <c r="R54" s="21">
        <f>M54</f>
        <v>2017</v>
      </c>
      <c r="S54" s="20">
        <f>[1]Input_EUL_CRC_ERC!$B$17-Table1[[#This Row],[Year Installed_WL]]</f>
        <v>4</v>
      </c>
      <c r="T54" s="20">
        <f>[1]Input_EUL_CRC_ERC!$B$17-(IF(Table1[[#This Row],[Year Last_Rehab_WL ]]=0,Table1[[#This Row],[Year Installed_WL]],[1]Input_EUL_CRC_ERC!$B$17-Table1[[#This Row],[Year Last_Rehab_WL ]]))</f>
        <v>4</v>
      </c>
      <c r="U54" s="20">
        <f>(VLOOKUP(Table1[[#This Row],[Item_Rehab_WL]],[1]Input_EUL_CRC_ERC!$C$17:$E$27,2,FALSE)-Table1[[#This Row],[Last Rehab Age]])</f>
        <v>11</v>
      </c>
      <c r="V54" s="19">
        <f>[1]Input_EUL_CRC_ERC!$B$17-Table1[[#This Row],[Year Installed_HP]]</f>
        <v>4</v>
      </c>
      <c r="W54" s="19">
        <f>(VLOOKUP(Table1[[#This Row],[Item_Handpump]],[1]!Table2[#All],2,FALSE))-(IF(Table1[[#This Row],[Year Last_Rehab_HP]]="",Table1[[#This Row],[Current Age_Handpump]],[1]Input_EUL_CRC_ERC!$B$17-Table1[[#This Row],[Year Last_Rehab_HP]]))</f>
        <v>10</v>
      </c>
      <c r="X54" s="19">
        <f>[1]Input_EUL_CRC_ERC!$B$17-Table1[[#This Row],[Year Installed_PF]]</f>
        <v>4</v>
      </c>
      <c r="Y54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54" s="25">
        <f>IF(Table1[[#This Row],[Years_Next_Rehab_Well]]&lt;=0,VLOOKUP(Table1[[#This Row],[Item_Rehab_WL]],[1]!Table2[#All],3,FALSE),0)</f>
        <v>0</v>
      </c>
      <c r="AA54" s="18">
        <f>IF(Table1[[#This Row],[Adjusted_ULife_HP]]&lt;=0,VLOOKUP(Table1[[#This Row],[Item_Handpump]],[1]!Table2[#All],3,FALSE),0)</f>
        <v>0</v>
      </c>
      <c r="AB54" s="18">
        <f>IF(Table1[[#This Row],[Adjusted_ULife_PF]]&lt;=0,VLOOKUP(Table1[[#This Row],[Item_Platform]],[1]!Table2[#All],3,FALSE),0)</f>
        <v>0</v>
      </c>
      <c r="AC54" s="18">
        <f>SUM(Table1[[#This Row],[current yr_wl]:[current yr_pf]])</f>
        <v>0</v>
      </c>
      <c r="AD54" s="25">
        <f>IF(Table1[[#This Row],[Years_Next_Rehab_Well]]=1,VLOOKUP(Table1[[#This Row],[Item_Rehab_WL]],[1]!Table2[#All],4,FALSE),0)</f>
        <v>0</v>
      </c>
      <c r="AE54" s="25">
        <f>IF(Table1[[#This Row],[Adjusted_ULife_HP]]=1,VLOOKUP(Table1[[#This Row],[Item_Handpump]],[1]!Table2[#All],4,FALSE),0)</f>
        <v>0</v>
      </c>
      <c r="AF54" s="25">
        <f>IF(Table1[[#This Row],[Adjusted_ULife_PF]]=1,VLOOKUP(Table1[[#This Row],[Item_Platform]],[1]!Table2[#All],4,FALSE),0)</f>
        <v>0</v>
      </c>
      <c r="AG54" s="25">
        <f>SUM(Table1[[#This Row],[yr 1_wl]:[yr 1_pf]])</f>
        <v>0</v>
      </c>
      <c r="AH54" s="25">
        <f>IF(Table1[[#This Row],[Years_Next_Rehab_Well]]=2,VLOOKUP(Table1[[#This Row],[Item_Rehab_WL]],[1]!Table2[#All],5,FALSE),0)</f>
        <v>0</v>
      </c>
      <c r="AI54" s="25">
        <f>IF(Table1[[#This Row],[Adjusted_ULife_HP]]=2,VLOOKUP(Table1[[#This Row],[Item_Handpump]],[1]!Table2[#All],5,FALSE),0)</f>
        <v>0</v>
      </c>
      <c r="AJ54" s="25">
        <f>IF(Table1[[#This Row],[Adjusted_ULife_PF]]=2,VLOOKUP(Table1[[#This Row],[Item_Platform]],[1]!Table2[#All],5,FALSE),0)</f>
        <v>0</v>
      </c>
      <c r="AK54" s="25">
        <f>SUM(Table1[[#This Row],[yr 2_wl]:[yr 2_pf]])</f>
        <v>0</v>
      </c>
      <c r="AL54" s="25">
        <f>IF(Table1[[#This Row],[Years_Next_Rehab_Well]]=3,VLOOKUP(Table1[[#This Row],[Item_Rehab_WL]],[1]!Table2[#All],6,FALSE),0)</f>
        <v>0</v>
      </c>
      <c r="AM54" s="25">
        <f>IF(Table1[[#This Row],[Adjusted_ULife_HP]]=3,VLOOKUP(Table1[[#This Row],[Item_Handpump]],[1]!Table2[#All],6,FALSE),0)</f>
        <v>0</v>
      </c>
      <c r="AN54" s="25">
        <f>IF(Table1[[#This Row],[Adjusted_ULife_PF]]=3,VLOOKUP(Table1[[#This Row],[Item_Platform]],[1]!Table2[#All],6,FALSE),0)</f>
        <v>0</v>
      </c>
      <c r="AO54" s="25">
        <f>SUM(Table1[[#This Row],[yr 3_wl]:[yr 3_pf]])</f>
        <v>0</v>
      </c>
      <c r="AP54" s="25">
        <f>IF(Table1[[#This Row],[Years_Next_Rehab_Well]]=4,VLOOKUP(Table1[[#This Row],[Item_Rehab_WL]],[1]!Table2[#All],7,FALSE),0)</f>
        <v>0</v>
      </c>
      <c r="AQ54" s="25">
        <f>IF(Table1[[#This Row],[Adjusted_ULife_HP]]=4,VLOOKUP(Table1[[#This Row],[Item_Handpump]],[1]!Table2[#All],7,FALSE),0)</f>
        <v>0</v>
      </c>
      <c r="AR54" s="25">
        <f>IF(Table1[[#This Row],[Adjusted_ULife_PF]]=4,VLOOKUP(Table1[[#This Row],[Item_Platform]],[1]!Table2[#All],7,FALSE),0)</f>
        <v>0</v>
      </c>
      <c r="AS54" s="25">
        <f>SUM(Table1[[#This Row],[yr 4_wl]:[yr 4_pf]])</f>
        <v>0</v>
      </c>
      <c r="AT54" s="25">
        <f>IF(Table1[[#This Row],[Years_Next_Rehab_Well]]=5,VLOOKUP(Table1[[#This Row],[Item_Rehab_WL]],[1]!Table2[#All],8,FALSE),0)</f>
        <v>0</v>
      </c>
      <c r="AU54" s="25">
        <f>IF(Table1[[#This Row],[Adjusted_ULife_HP]]=5,VLOOKUP(Table1[[#This Row],[Item_Handpump]],[1]!Table2[#All],8,FALSE),0)</f>
        <v>0</v>
      </c>
      <c r="AV54" s="25">
        <f>IF(Table1[[#This Row],[Adjusted_ULife_PF]]=5,VLOOKUP(Table1[[#This Row],[Item_Platform]],[1]!Table2[#All],8,FALSE),0)</f>
        <v>0</v>
      </c>
      <c r="AW54" s="25">
        <f>SUM(Table1[[#This Row],[yr 5_wl]:[yr 5_pf]])</f>
        <v>0</v>
      </c>
      <c r="AX54" s="25">
        <f>IF(Table1[[#This Row],[Years_Next_Rehab_Well]]=6,VLOOKUP(Table1[[#This Row],[Item_Rehab_WL]],[1]!Table2[#All],9,FALSE),0)</f>
        <v>0</v>
      </c>
      <c r="AY54" s="25">
        <f>IF(Table1[[#This Row],[Adjusted_ULife_HP]]=6,VLOOKUP(Table1[[#This Row],[Item_Handpump]],[1]!Table2[#All],9,FALSE),0)</f>
        <v>0</v>
      </c>
      <c r="AZ54" s="25">
        <f>IF(Table1[[#This Row],[Adjusted_ULife_PF]]=6,VLOOKUP(Table1[[#This Row],[Item_Platform]],[1]!Table2[#All],9,FALSE),0)</f>
        <v>0</v>
      </c>
      <c r="BA54" s="25">
        <f>SUM(Table1[[#This Row],[yr 6_wl]:[yr 6_pf]])</f>
        <v>0</v>
      </c>
      <c r="BB54" s="25">
        <f>IF(Table1[[#This Row],[Years_Next_Rehab_Well]]=7,VLOOKUP(Table1[[#This Row],[Item_Rehab_WL]],[1]!Table2[#All],10,FALSE),0)</f>
        <v>0</v>
      </c>
      <c r="BC54" s="25">
        <f>IF(Table1[[#This Row],[Adjusted_ULife_HP]]=7,VLOOKUP(Table1[[#This Row],[Item_Handpump]],[1]!Table2[#All],10,FALSE),0)</f>
        <v>0</v>
      </c>
      <c r="BD54" s="25">
        <f>IF(Table1[[#This Row],[Adjusted_ULife_PF]]=7,VLOOKUP(Table1[[#This Row],[Item_Platform]],[1]!Table2[#All],10,FALSE),0)</f>
        <v>0</v>
      </c>
      <c r="BE54" s="25">
        <f>SUM(Table1[[#This Row],[yr 7_wl]:[yr 7_pf]])</f>
        <v>0</v>
      </c>
      <c r="BF54" s="25">
        <f>IF(Table1[[#This Row],[Years_Next_Rehab_Well]]=8,VLOOKUP(Table1[[#This Row],[Item_Rehab_WL]],[1]!Table2[#All],11,FALSE),0)</f>
        <v>0</v>
      </c>
      <c r="BG54" s="25">
        <f>IF(Table1[[#This Row],[Adjusted_ULife_HP]]=8,VLOOKUP(Table1[[#This Row],[Item_Handpump]],[1]!Table2[#All],11,FALSE),0)</f>
        <v>0</v>
      </c>
      <c r="BH54" s="25">
        <f>IF(Table1[[#This Row],[Adjusted_ULife_PF]]=8,VLOOKUP(Table1[[#This Row],[Item_Platform]],[1]!Table2[#All],11,FALSE),0)</f>
        <v>0</v>
      </c>
      <c r="BI54" s="25">
        <f>SUM(Table1[[#This Row],[yr 8_wl]:[yr 8_pf]])</f>
        <v>0</v>
      </c>
      <c r="BJ54" s="25">
        <f>IF(Table1[[#This Row],[Years_Next_Rehab_Well]]=9,VLOOKUP(Table1[[#This Row],[Item_Rehab_WL]],[1]!Table2[#All],12,FALSE),0)</f>
        <v>0</v>
      </c>
      <c r="BK54" s="25">
        <f>IF(Table1[[#This Row],[Adjusted_ULife_HP]]=9,VLOOKUP(Table1[[#This Row],[Item_Handpump]],[1]!Table2[#All],12,FALSE),0)</f>
        <v>0</v>
      </c>
      <c r="BL54" s="25">
        <f>IF(Table1[[#This Row],[Adjusted_ULife_PF]]=9,VLOOKUP(Table1[[#This Row],[Item_Platform]],[1]!Table2[#All],12,FALSE),0)</f>
        <v>0</v>
      </c>
      <c r="BM54" s="25">
        <f>SUM(Table1[[#This Row],[yr 9_wl]:[yr 9_pf]])</f>
        <v>0</v>
      </c>
      <c r="BN54" s="25">
        <f>IF(Table1[[#This Row],[Years_Next_Rehab_Well]]=10,VLOOKUP(Table1[[#This Row],[Item_Rehab_WL]],[1]!Table2[#All],13,FALSE),0)</f>
        <v>0</v>
      </c>
      <c r="BO54" s="25">
        <f>IF(Table1[[#This Row],[Adjusted_ULife_HP]]=10,VLOOKUP(Table1[[#This Row],[Item_Handpump]],[1]!Table2[#All],13,FALSE),0)</f>
        <v>1242.3392833376847</v>
      </c>
      <c r="BP54" s="25">
        <f>IF(Table1[[#This Row],[Adjusted_ULife_PF]]=10,VLOOKUP(Table1[[#This Row],[Item_Platform]],[1]!Table2[#All],13,FALSE),0)</f>
        <v>4658.7723125163184</v>
      </c>
      <c r="BQ54" s="25">
        <f>SUM(Table1[[#This Row],[yr 10_wl]:[yr 10_pf]])</f>
        <v>5901.1115958540031</v>
      </c>
      <c r="BR54" s="25">
        <f>IF(Table1[[#This Row],[Years_Next_Rehab_Well]]=11,VLOOKUP(Table1[[#This Row],[Item_Rehab_WL]],[1]!Table2[#All],14,FALSE),0)</f>
        <v>12754.683308933567</v>
      </c>
      <c r="BS54" s="25">
        <f>IF(Table1[[#This Row],[Adjusted_ULife_HP]]=11,VLOOKUP(Table1[[#This Row],[Item_Handpump]],[1]!Table2[#All],14,FALSE),0)</f>
        <v>0</v>
      </c>
      <c r="BT54" s="25">
        <f>IF(Table1[[#This Row],[Adjusted_ULife_PF]]=11,VLOOKUP(Table1[[#This Row],[Item_Platform]],[1]!Table2[#All],14,FALSE),0)</f>
        <v>0</v>
      </c>
      <c r="BU54" s="25">
        <f>SUM(Table1[[#This Row],[yr 11_wl]:[yr 11_pf]])</f>
        <v>12754.683308933567</v>
      </c>
      <c r="BV54" s="25">
        <f>IF(Table1[[#This Row],[Years_Next_Rehab_Well]]=12,VLOOKUP(Table1[[#This Row],[Item_Rehab_WL]],[1]!Table2[#All],15,FALSE),0)</f>
        <v>0</v>
      </c>
      <c r="BW54" s="25">
        <f>IF(Table1[[#This Row],[Adjusted_ULife_HP]]=12,VLOOKUP(Table1[[#This Row],[Item_Handpump]],[1]!Table2[#All],15,FALSE),0)</f>
        <v>0</v>
      </c>
      <c r="BX54" s="25">
        <f>IF(Table1[[#This Row],[Adjusted_ULife_PF]]=12,VLOOKUP(Table1[[#This Row],[Item_Platform]],[1]!Table2[#All],15,FALSE),0)</f>
        <v>0</v>
      </c>
      <c r="BY54" s="25">
        <f>SUM(Table1[[#This Row],[yr 12_wl]:[yr 12_pf]])</f>
        <v>0</v>
      </c>
      <c r="BZ54" s="25">
        <f>IF(Table1[[#This Row],[Years_Next_Rehab_Well]]=13,VLOOKUP(Table1[[#This Row],[Item_Rehab_WL]],[1]!Table2[#All],16,FALSE),0)</f>
        <v>0</v>
      </c>
      <c r="CA54" s="25">
        <f>IF(Table1[[#This Row],[Adjusted_ULife_HP]]=13,VLOOKUP(Table1[[#This Row],[Item_Handpump]],[1]!Table2[#All],16,FALSE),0)</f>
        <v>0</v>
      </c>
      <c r="CB54" s="25">
        <f>IF(Table1[[#This Row],[Adjusted_ULife_PF]]=13,VLOOKUP(Table1[[#This Row],[Item_Platform]],[1]!Table2[#All],16,FALSE),0)</f>
        <v>0</v>
      </c>
      <c r="CC54" s="25">
        <f>SUM(Table1[[#This Row],[yr 13_wl]:[yr 13_pf]])</f>
        <v>0</v>
      </c>
      <c r="CD54" s="12"/>
    </row>
    <row r="55" spans="1:82" s="11" customFormat="1" x14ac:dyDescent="0.25">
      <c r="A55" s="11" t="str">
        <f>IF([1]Input_monitoring_data!A51="","",[1]Input_monitoring_data!A51)</f>
        <v>8qxm-4hts-xums</v>
      </c>
      <c r="B55" s="22" t="str">
        <f>[1]Input_monitoring_data!BH51</f>
        <v>GAMBIA</v>
      </c>
      <c r="C55" s="22" t="str">
        <f>[1]Input_monitoring_data!BI51</f>
        <v>BIASO</v>
      </c>
      <c r="D55" s="22" t="str">
        <f>[1]Input_monitoring_data!P51</f>
        <v>7.09524032</v>
      </c>
      <c r="E55" s="22" t="str">
        <f>[1]Input_monitoring_data!Q51</f>
        <v>-2.71279081</v>
      </c>
      <c r="F55" s="22" t="str">
        <f>[1]Input_monitoring_data!V51</f>
        <v>In front of Church of Pentecost</v>
      </c>
      <c r="G55" s="23" t="str">
        <f>[1]Input_monitoring_data!U51</f>
        <v>Borehole</v>
      </c>
      <c r="H55" s="22">
        <f>[1]Input_monitoring_data!X51</f>
        <v>2017</v>
      </c>
      <c r="I55" s="21" t="str">
        <f>[1]Input_monitoring_data!AB51</f>
        <v>Borehole redevelopment</v>
      </c>
      <c r="J55" s="21">
        <f>[1]Input_monitoring_data!AC51</f>
        <v>0</v>
      </c>
      <c r="K55" s="23" t="str">
        <f>[1]Input_monitoring_data!W51</f>
        <v>AfriDev</v>
      </c>
      <c r="L55" s="22">
        <f>[1]Input_monitoring_data!X51</f>
        <v>2017</v>
      </c>
      <c r="M55" s="21" t="str">
        <f>IF([1]Input_monitoring_data!BL51&gt;'Point Sources_Asset_Register_'!L55,[1]Input_monitoring_data!BL51,"")</f>
        <v/>
      </c>
      <c r="N55" s="22" t="str">
        <f>[1]Input_monitoring_data!BQ51</f>
        <v>functional</v>
      </c>
      <c r="O55" s="22">
        <f>[1]Input_monitoring_data!AJ51</f>
        <v>0</v>
      </c>
      <c r="P55" s="23" t="s">
        <v>0</v>
      </c>
      <c r="Q55" s="22">
        <f>L55</f>
        <v>2017</v>
      </c>
      <c r="R55" s="21" t="str">
        <f>M55</f>
        <v/>
      </c>
      <c r="S55" s="20">
        <f>[1]Input_EUL_CRC_ERC!$B$17-Table1[[#This Row],[Year Installed_WL]]</f>
        <v>0</v>
      </c>
      <c r="T55" s="20">
        <f>[1]Input_EUL_CRC_ERC!$B$17-(IF(Table1[[#This Row],[Year Last_Rehab_WL ]]=0,Table1[[#This Row],[Year Installed_WL]],[1]Input_EUL_CRC_ERC!$B$17-Table1[[#This Row],[Year Last_Rehab_WL ]]))</f>
        <v>0</v>
      </c>
      <c r="U55" s="20">
        <f>(VLOOKUP(Table1[[#This Row],[Item_Rehab_WL]],[1]Input_EUL_CRC_ERC!$C$17:$E$27,2,FALSE)-Table1[[#This Row],[Last Rehab Age]])</f>
        <v>15</v>
      </c>
      <c r="V55" s="19">
        <f>[1]Input_EUL_CRC_ERC!$B$17-Table1[[#This Row],[Year Installed_HP]]</f>
        <v>0</v>
      </c>
      <c r="W55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55" s="19">
        <f>[1]Input_EUL_CRC_ERC!$B$17-Table1[[#This Row],[Year Installed_PF]]</f>
        <v>0</v>
      </c>
      <c r="Y55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55" s="25">
        <f>IF(Table1[[#This Row],[Years_Next_Rehab_Well]]&lt;=0,VLOOKUP(Table1[[#This Row],[Item_Rehab_WL]],[1]!Table2[#All],3,FALSE),0)</f>
        <v>0</v>
      </c>
      <c r="AA55" s="18">
        <f>IF(Table1[[#This Row],[Adjusted_ULife_HP]]&lt;=0,VLOOKUP(Table1[[#This Row],[Item_Handpump]],[1]!Table2[#All],3,FALSE),0)</f>
        <v>0</v>
      </c>
      <c r="AB55" s="18">
        <f>IF(Table1[[#This Row],[Adjusted_ULife_PF]]&lt;=0,VLOOKUP(Table1[[#This Row],[Item_Platform]],[1]!Table2[#All],3,FALSE),0)</f>
        <v>0</v>
      </c>
      <c r="AC55" s="18">
        <f>SUM(Table1[[#This Row],[current yr_wl]:[current yr_pf]])</f>
        <v>0</v>
      </c>
      <c r="AD55" s="25">
        <f>IF(Table1[[#This Row],[Years_Next_Rehab_Well]]=1,VLOOKUP(Table1[[#This Row],[Item_Rehab_WL]],[1]!Table2[#All],4,FALSE),0)</f>
        <v>0</v>
      </c>
      <c r="AE55" s="25">
        <f>IF(Table1[[#This Row],[Adjusted_ULife_HP]]=1,VLOOKUP(Table1[[#This Row],[Item_Handpump]],[1]!Table2[#All],4,FALSE),0)</f>
        <v>0</v>
      </c>
      <c r="AF55" s="25">
        <f>IF(Table1[[#This Row],[Adjusted_ULife_PF]]=1,VLOOKUP(Table1[[#This Row],[Item_Platform]],[1]!Table2[#All],4,FALSE),0)</f>
        <v>0</v>
      </c>
      <c r="AG55" s="25">
        <f>SUM(Table1[[#This Row],[yr 1_wl]:[yr 1_pf]])</f>
        <v>0</v>
      </c>
      <c r="AH55" s="25">
        <f>IF(Table1[[#This Row],[Years_Next_Rehab_Well]]=2,VLOOKUP(Table1[[#This Row],[Item_Rehab_WL]],[1]!Table2[#All],5,FALSE),0)</f>
        <v>0</v>
      </c>
      <c r="AI55" s="25">
        <f>IF(Table1[[#This Row],[Adjusted_ULife_HP]]=2,VLOOKUP(Table1[[#This Row],[Item_Handpump]],[1]!Table2[#All],5,FALSE),0)</f>
        <v>0</v>
      </c>
      <c r="AJ55" s="25">
        <f>IF(Table1[[#This Row],[Adjusted_ULife_PF]]=2,VLOOKUP(Table1[[#This Row],[Item_Platform]],[1]!Table2[#All],5,FALSE),0)</f>
        <v>0</v>
      </c>
      <c r="AK55" s="25">
        <f>SUM(Table1[[#This Row],[yr 2_wl]:[yr 2_pf]])</f>
        <v>0</v>
      </c>
      <c r="AL55" s="25">
        <f>IF(Table1[[#This Row],[Years_Next_Rehab_Well]]=3,VLOOKUP(Table1[[#This Row],[Item_Rehab_WL]],[1]!Table2[#All],6,FALSE),0)</f>
        <v>0</v>
      </c>
      <c r="AM55" s="25">
        <f>IF(Table1[[#This Row],[Adjusted_ULife_HP]]=3,VLOOKUP(Table1[[#This Row],[Item_Handpump]],[1]!Table2[#All],6,FALSE),0)</f>
        <v>0</v>
      </c>
      <c r="AN55" s="25">
        <f>IF(Table1[[#This Row],[Adjusted_ULife_PF]]=3,VLOOKUP(Table1[[#This Row],[Item_Platform]],[1]!Table2[#All],6,FALSE),0)</f>
        <v>0</v>
      </c>
      <c r="AO55" s="25">
        <f>SUM(Table1[[#This Row],[yr 3_wl]:[yr 3_pf]])</f>
        <v>0</v>
      </c>
      <c r="AP55" s="25">
        <f>IF(Table1[[#This Row],[Years_Next_Rehab_Well]]=4,VLOOKUP(Table1[[#This Row],[Item_Rehab_WL]],[1]!Table2[#All],7,FALSE),0)</f>
        <v>0</v>
      </c>
      <c r="AQ55" s="25">
        <f>IF(Table1[[#This Row],[Adjusted_ULife_HP]]=4,VLOOKUP(Table1[[#This Row],[Item_Handpump]],[1]!Table2[#All],7,FALSE),0)</f>
        <v>0</v>
      </c>
      <c r="AR55" s="25">
        <f>IF(Table1[[#This Row],[Adjusted_ULife_PF]]=4,VLOOKUP(Table1[[#This Row],[Item_Platform]],[1]!Table2[#All],7,FALSE),0)</f>
        <v>0</v>
      </c>
      <c r="AS55" s="25">
        <f>SUM(Table1[[#This Row],[yr 4_wl]:[yr 4_pf]])</f>
        <v>0</v>
      </c>
      <c r="AT55" s="25">
        <f>IF(Table1[[#This Row],[Years_Next_Rehab_Well]]=5,VLOOKUP(Table1[[#This Row],[Item_Rehab_WL]],[1]!Table2[#All],8,FALSE),0)</f>
        <v>0</v>
      </c>
      <c r="AU55" s="25">
        <f>IF(Table1[[#This Row],[Adjusted_ULife_HP]]=5,VLOOKUP(Table1[[#This Row],[Item_Handpump]],[1]!Table2[#All],8,FALSE),0)</f>
        <v>0</v>
      </c>
      <c r="AV55" s="25">
        <f>IF(Table1[[#This Row],[Adjusted_ULife_PF]]=5,VLOOKUP(Table1[[#This Row],[Item_Platform]],[1]!Table2[#All],8,FALSE),0)</f>
        <v>0</v>
      </c>
      <c r="AW55" s="25">
        <f>SUM(Table1[[#This Row],[yr 5_wl]:[yr 5_pf]])</f>
        <v>0</v>
      </c>
      <c r="AX55" s="25">
        <f>IF(Table1[[#This Row],[Years_Next_Rehab_Well]]=6,VLOOKUP(Table1[[#This Row],[Item_Rehab_WL]],[1]!Table2[#All],9,FALSE),0)</f>
        <v>0</v>
      </c>
      <c r="AY55" s="25">
        <f>IF(Table1[[#This Row],[Adjusted_ULife_HP]]=6,VLOOKUP(Table1[[#This Row],[Item_Handpump]],[1]!Table2[#All],9,FALSE),0)</f>
        <v>0</v>
      </c>
      <c r="AZ55" s="25">
        <f>IF(Table1[[#This Row],[Adjusted_ULife_PF]]=6,VLOOKUP(Table1[[#This Row],[Item_Platform]],[1]!Table2[#All],9,FALSE),0)</f>
        <v>0</v>
      </c>
      <c r="BA55" s="25">
        <f>SUM(Table1[[#This Row],[yr 6_wl]:[yr 6_pf]])</f>
        <v>0</v>
      </c>
      <c r="BB55" s="25">
        <f>IF(Table1[[#This Row],[Years_Next_Rehab_Well]]=7,VLOOKUP(Table1[[#This Row],[Item_Rehab_WL]],[1]!Table2[#All],10,FALSE),0)</f>
        <v>0</v>
      </c>
      <c r="BC55" s="25">
        <f>IF(Table1[[#This Row],[Adjusted_ULife_HP]]=7,VLOOKUP(Table1[[#This Row],[Item_Handpump]],[1]!Table2[#All],10,FALSE),0)</f>
        <v>0</v>
      </c>
      <c r="BD55" s="25">
        <f>IF(Table1[[#This Row],[Adjusted_ULife_PF]]=7,VLOOKUP(Table1[[#This Row],[Item_Platform]],[1]!Table2[#All],10,FALSE),0)</f>
        <v>0</v>
      </c>
      <c r="BE55" s="25">
        <f>SUM(Table1[[#This Row],[yr 7_wl]:[yr 7_pf]])</f>
        <v>0</v>
      </c>
      <c r="BF55" s="25">
        <f>IF(Table1[[#This Row],[Years_Next_Rehab_Well]]=8,VLOOKUP(Table1[[#This Row],[Item_Rehab_WL]],[1]!Table2[#All],11,FALSE),0)</f>
        <v>0</v>
      </c>
      <c r="BG55" s="25">
        <f>IF(Table1[[#This Row],[Adjusted_ULife_HP]]=8,VLOOKUP(Table1[[#This Row],[Item_Handpump]],[1]!Table2[#All],11,FALSE),0)</f>
        <v>0</v>
      </c>
      <c r="BH55" s="25">
        <f>IF(Table1[[#This Row],[Adjusted_ULife_PF]]=8,VLOOKUP(Table1[[#This Row],[Item_Platform]],[1]!Table2[#All],11,FALSE),0)</f>
        <v>0</v>
      </c>
      <c r="BI55" s="25">
        <f>SUM(Table1[[#This Row],[yr 8_wl]:[yr 8_pf]])</f>
        <v>0</v>
      </c>
      <c r="BJ55" s="25">
        <f>IF(Table1[[#This Row],[Years_Next_Rehab_Well]]=9,VLOOKUP(Table1[[#This Row],[Item_Rehab_WL]],[1]!Table2[#All],12,FALSE),0)</f>
        <v>0</v>
      </c>
      <c r="BK55" s="25">
        <f>IF(Table1[[#This Row],[Adjusted_ULife_HP]]=9,VLOOKUP(Table1[[#This Row],[Item_Handpump]],[1]!Table2[#All],12,FALSE),0)</f>
        <v>0</v>
      </c>
      <c r="BL55" s="25">
        <f>IF(Table1[[#This Row],[Adjusted_ULife_PF]]=9,VLOOKUP(Table1[[#This Row],[Item_Platform]],[1]!Table2[#All],12,FALSE),0)</f>
        <v>0</v>
      </c>
      <c r="BM55" s="25">
        <f>SUM(Table1[[#This Row],[yr 9_wl]:[yr 9_pf]])</f>
        <v>0</v>
      </c>
      <c r="BN55" s="25">
        <f>IF(Table1[[#This Row],[Years_Next_Rehab_Well]]=10,VLOOKUP(Table1[[#This Row],[Item_Rehab_WL]],[1]!Table2[#All],13,FALSE),0)</f>
        <v>0</v>
      </c>
      <c r="BO55" s="25">
        <f>IF(Table1[[#This Row],[Adjusted_ULife_HP]]=10,VLOOKUP(Table1[[#This Row],[Item_Handpump]],[1]!Table2[#All],13,FALSE),0)</f>
        <v>0</v>
      </c>
      <c r="BP55" s="25">
        <f>IF(Table1[[#This Row],[Adjusted_ULife_PF]]=10,VLOOKUP(Table1[[#This Row],[Item_Platform]],[1]!Table2[#All],13,FALSE),0)</f>
        <v>4658.7723125163184</v>
      </c>
      <c r="BQ55" s="25">
        <f>SUM(Table1[[#This Row],[yr 10_wl]:[yr 10_pf]])</f>
        <v>4658.7723125163184</v>
      </c>
      <c r="BR55" s="25">
        <f>IF(Table1[[#This Row],[Years_Next_Rehab_Well]]=11,VLOOKUP(Table1[[#This Row],[Item_Rehab_WL]],[1]!Table2[#All],14,FALSE),0)</f>
        <v>0</v>
      </c>
      <c r="BS55" s="25">
        <f>IF(Table1[[#This Row],[Adjusted_ULife_HP]]=11,VLOOKUP(Table1[[#This Row],[Item_Handpump]],[1]!Table2[#All],14,FALSE),0)</f>
        <v>0</v>
      </c>
      <c r="BT55" s="25">
        <f>IF(Table1[[#This Row],[Adjusted_ULife_PF]]=11,VLOOKUP(Table1[[#This Row],[Item_Platform]],[1]!Table2[#All],14,FALSE),0)</f>
        <v>0</v>
      </c>
      <c r="BU55" s="25">
        <f>SUM(Table1[[#This Row],[yr 11_wl]:[yr 11_pf]])</f>
        <v>0</v>
      </c>
      <c r="BV55" s="25">
        <f>IF(Table1[[#This Row],[Years_Next_Rehab_Well]]=12,VLOOKUP(Table1[[#This Row],[Item_Rehab_WL]],[1]!Table2[#All],15,FALSE),0)</f>
        <v>0</v>
      </c>
      <c r="BW55" s="25">
        <f>IF(Table1[[#This Row],[Adjusted_ULife_HP]]=12,VLOOKUP(Table1[[#This Row],[Item_Handpump]],[1]!Table2[#All],15,FALSE),0)</f>
        <v>0</v>
      </c>
      <c r="BX55" s="25">
        <f>IF(Table1[[#This Row],[Adjusted_ULife_PF]]=12,VLOOKUP(Table1[[#This Row],[Item_Platform]],[1]!Table2[#All],15,FALSE),0)</f>
        <v>0</v>
      </c>
      <c r="BY55" s="25">
        <f>SUM(Table1[[#This Row],[yr 12_wl]:[yr 12_pf]])</f>
        <v>0</v>
      </c>
      <c r="BZ55" s="25">
        <f>IF(Table1[[#This Row],[Years_Next_Rehab_Well]]=13,VLOOKUP(Table1[[#This Row],[Item_Rehab_WL]],[1]!Table2[#All],16,FALSE),0)</f>
        <v>0</v>
      </c>
      <c r="CA55" s="25">
        <f>IF(Table1[[#This Row],[Adjusted_ULife_HP]]=13,VLOOKUP(Table1[[#This Row],[Item_Handpump]],[1]!Table2[#All],16,FALSE),0)</f>
        <v>0</v>
      </c>
      <c r="CB55" s="25">
        <f>IF(Table1[[#This Row],[Adjusted_ULife_PF]]=13,VLOOKUP(Table1[[#This Row],[Item_Platform]],[1]!Table2[#All],16,FALSE),0)</f>
        <v>0</v>
      </c>
      <c r="CC55" s="25">
        <f>SUM(Table1[[#This Row],[yr 13_wl]:[yr 13_pf]])</f>
        <v>0</v>
      </c>
      <c r="CD55" s="12"/>
    </row>
    <row r="56" spans="1:82" s="11" customFormat="1" x14ac:dyDescent="0.25">
      <c r="A56" s="11" t="str">
        <f>IF([1]Input_monitoring_data!A52="","",[1]Input_monitoring_data!A52)</f>
        <v>8tqn-su18-m3by</v>
      </c>
      <c r="B56" s="22" t="str">
        <f>[1]Input_monitoring_data!BH52</f>
        <v>Goamu</v>
      </c>
      <c r="C56" s="22" t="str">
        <f>[1]Input_monitoring_data!BI52</f>
        <v>Abena Arkokrom</v>
      </c>
      <c r="D56" s="22" t="str">
        <f>[1]Input_monitoring_data!P52</f>
        <v>7.031191456106925</v>
      </c>
      <c r="E56" s="22" t="str">
        <f>[1]Input_monitoring_data!Q52</f>
        <v>-2.5173002808612894</v>
      </c>
      <c r="F56" s="22" t="str">
        <f>[1]Input_monitoring_data!V52</f>
        <v>Near Abu Chaerls House</v>
      </c>
      <c r="G56" s="23" t="str">
        <f>[1]Input_monitoring_data!U52</f>
        <v>Hand dug well</v>
      </c>
      <c r="H56" s="22">
        <f>[1]Input_monitoring_data!X52</f>
        <v>2002</v>
      </c>
      <c r="I56" s="21" t="str">
        <f>[1]Input_monitoring_data!AB52</f>
        <v>Borehole redevelopment</v>
      </c>
      <c r="J56" s="21">
        <f>[1]Input_monitoring_data!AC52</f>
        <v>0</v>
      </c>
      <c r="K56" s="23" t="str">
        <f>[1]Input_monitoring_data!W52</f>
        <v>Nira AF-85</v>
      </c>
      <c r="L56" s="22">
        <f>[1]Input_monitoring_data!X52</f>
        <v>2002</v>
      </c>
      <c r="M56" s="21">
        <f>IF([1]Input_monitoring_data!BL52&gt;'Point Sources_Asset_Register_'!L56,[1]Input_monitoring_data!BL52,"")</f>
        <v>2014</v>
      </c>
      <c r="N56" s="22" t="str">
        <f>[1]Input_monitoring_data!BQ52</f>
        <v>partially functional</v>
      </c>
      <c r="O56" s="22">
        <f>[1]Input_monitoring_data!AJ52</f>
        <v>0</v>
      </c>
      <c r="P56" s="23" t="s">
        <v>0</v>
      </c>
      <c r="Q56" s="22">
        <f>L56</f>
        <v>2002</v>
      </c>
      <c r="R56" s="21">
        <f>M56</f>
        <v>2014</v>
      </c>
      <c r="S56" s="20">
        <f>[1]Input_EUL_CRC_ERC!$B$17-Table1[[#This Row],[Year Installed_WL]]</f>
        <v>15</v>
      </c>
      <c r="T56" s="20">
        <f>[1]Input_EUL_CRC_ERC!$B$17-(IF(Table1[[#This Row],[Year Last_Rehab_WL ]]=0,Table1[[#This Row],[Year Installed_WL]],[1]Input_EUL_CRC_ERC!$B$17-Table1[[#This Row],[Year Last_Rehab_WL ]]))</f>
        <v>15</v>
      </c>
      <c r="U56" s="20">
        <f>(VLOOKUP(Table1[[#This Row],[Item_Rehab_WL]],[1]Input_EUL_CRC_ERC!$C$17:$E$27,2,FALSE)-Table1[[#This Row],[Last Rehab Age]])</f>
        <v>0</v>
      </c>
      <c r="V56" s="26">
        <f>[1]Input_EUL_CRC_ERC!$B$17-Table1[[#This Row],[Year Installed_HP]]</f>
        <v>15</v>
      </c>
      <c r="W56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56" s="26">
        <f>[1]Input_EUL_CRC_ERC!$B$17-Table1[[#This Row],[Year Installed_PF]]</f>
        <v>15</v>
      </c>
      <c r="Y56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56" s="25">
        <f>IF(Table1[[#This Row],[Years_Next_Rehab_Well]]&lt;=0,VLOOKUP(Table1[[#This Row],[Item_Rehab_WL]],[1]!Table2[#All],3,FALSE),0)</f>
        <v>3666.6666666666665</v>
      </c>
      <c r="AA56" s="25">
        <f>IF(Table1[[#This Row],[Adjusted_ULife_HP]]&lt;=0,VLOOKUP(Table1[[#This Row],[Item_Handpump]],[1]!Table2[#All],3,FALSE),0)</f>
        <v>0</v>
      </c>
      <c r="AB56" s="25">
        <f>IF(Table1[[#This Row],[Adjusted_ULife_PF]]&lt;=0,VLOOKUP(Table1[[#This Row],[Item_Platform]],[1]!Table2[#All],3,FALSE),0)</f>
        <v>0</v>
      </c>
      <c r="AC56" s="25">
        <f>SUM(Table1[[#This Row],[current yr_wl]:[current yr_pf]])</f>
        <v>3666.6666666666665</v>
      </c>
      <c r="AD56" s="25">
        <f>IF(Table1[[#This Row],[Years_Next_Rehab_Well]]=1,VLOOKUP(Table1[[#This Row],[Item_Rehab_WL]],[1]!Table2[#All],4,FALSE),0)</f>
        <v>0</v>
      </c>
      <c r="AE56" s="25">
        <f>IF(Table1[[#This Row],[Adjusted_ULife_HP]]=1,VLOOKUP(Table1[[#This Row],[Item_Handpump]],[1]!Table2[#All],4,FALSE),0)</f>
        <v>0</v>
      </c>
      <c r="AF56" s="25">
        <f>IF(Table1[[#This Row],[Adjusted_ULife_PF]]=1,VLOOKUP(Table1[[#This Row],[Item_Platform]],[1]!Table2[#All],4,FALSE),0)</f>
        <v>0</v>
      </c>
      <c r="AG56" s="25">
        <f>SUM(Table1[[#This Row],[yr 1_wl]:[yr 1_pf]])</f>
        <v>0</v>
      </c>
      <c r="AH56" s="25">
        <f>IF(Table1[[#This Row],[Years_Next_Rehab_Well]]=2,VLOOKUP(Table1[[#This Row],[Item_Rehab_WL]],[1]!Table2[#All],5,FALSE),0)</f>
        <v>0</v>
      </c>
      <c r="AI56" s="25">
        <f>IF(Table1[[#This Row],[Adjusted_ULife_HP]]=2,VLOOKUP(Table1[[#This Row],[Item_Handpump]],[1]!Table2[#All],5,FALSE),0)</f>
        <v>0</v>
      </c>
      <c r="AJ56" s="25">
        <f>IF(Table1[[#This Row],[Adjusted_ULife_PF]]=2,VLOOKUP(Table1[[#This Row],[Item_Platform]],[1]!Table2[#All],5,FALSE),0)</f>
        <v>0</v>
      </c>
      <c r="AK56" s="25">
        <f>SUM(Table1[[#This Row],[yr 2_wl]:[yr 2_pf]])</f>
        <v>0</v>
      </c>
      <c r="AL56" s="25">
        <f>IF(Table1[[#This Row],[Years_Next_Rehab_Well]]=3,VLOOKUP(Table1[[#This Row],[Item_Rehab_WL]],[1]!Table2[#All],6,FALSE),0)</f>
        <v>0</v>
      </c>
      <c r="AM56" s="25">
        <f>IF(Table1[[#This Row],[Adjusted_ULife_HP]]=3,VLOOKUP(Table1[[#This Row],[Item_Handpump]],[1]!Table2[#All],6,FALSE),0)</f>
        <v>0</v>
      </c>
      <c r="AN56" s="25">
        <f>IF(Table1[[#This Row],[Adjusted_ULife_PF]]=3,VLOOKUP(Table1[[#This Row],[Item_Platform]],[1]!Table2[#All],6,FALSE),0)</f>
        <v>0</v>
      </c>
      <c r="AO56" s="25">
        <f>SUM(Table1[[#This Row],[yr 3_wl]:[yr 3_pf]])</f>
        <v>0</v>
      </c>
      <c r="AP56" s="25">
        <f>IF(Table1[[#This Row],[Years_Next_Rehab_Well]]=4,VLOOKUP(Table1[[#This Row],[Item_Rehab_WL]],[1]!Table2[#All],7,FALSE),0)</f>
        <v>0</v>
      </c>
      <c r="AQ56" s="25">
        <f>IF(Table1[[#This Row],[Adjusted_ULife_HP]]=4,VLOOKUP(Table1[[#This Row],[Item_Handpump]],[1]!Table2[#All],7,FALSE),0)</f>
        <v>0</v>
      </c>
      <c r="AR56" s="25">
        <f>IF(Table1[[#This Row],[Adjusted_ULife_PF]]=4,VLOOKUP(Table1[[#This Row],[Item_Platform]],[1]!Table2[#All],7,FALSE),0)</f>
        <v>0</v>
      </c>
      <c r="AS56" s="25">
        <f>SUM(Table1[[#This Row],[yr 4_wl]:[yr 4_pf]])</f>
        <v>0</v>
      </c>
      <c r="AT56" s="25">
        <f>IF(Table1[[#This Row],[Years_Next_Rehab_Well]]=5,VLOOKUP(Table1[[#This Row],[Item_Rehab_WL]],[1]!Table2[#All],8,FALSE),0)</f>
        <v>0</v>
      </c>
      <c r="AU56" s="25">
        <f>IF(Table1[[#This Row],[Adjusted_ULife_HP]]=5,VLOOKUP(Table1[[#This Row],[Item_Handpump]],[1]!Table2[#All],8,FALSE),0)</f>
        <v>0</v>
      </c>
      <c r="AV56" s="25">
        <f>IF(Table1[[#This Row],[Adjusted_ULife_PF]]=5,VLOOKUP(Table1[[#This Row],[Item_Platform]],[1]!Table2[#All],8,FALSE),0)</f>
        <v>0</v>
      </c>
      <c r="AW56" s="25">
        <f>SUM(Table1[[#This Row],[yr 5_wl]:[yr 5_pf]])</f>
        <v>0</v>
      </c>
      <c r="AX56" s="25">
        <f>IF(Table1[[#This Row],[Years_Next_Rehab_Well]]=6,VLOOKUP(Table1[[#This Row],[Item_Rehab_WL]],[1]!Table2[#All],9,FALSE),0)</f>
        <v>0</v>
      </c>
      <c r="AY56" s="25">
        <f>IF(Table1[[#This Row],[Adjusted_ULife_HP]]=6,VLOOKUP(Table1[[#This Row],[Item_Handpump]],[1]!Table2[#All],9,FALSE),0)</f>
        <v>0</v>
      </c>
      <c r="AZ56" s="25">
        <f>IF(Table1[[#This Row],[Adjusted_ULife_PF]]=6,VLOOKUP(Table1[[#This Row],[Item_Platform]],[1]!Table2[#All],9,FALSE),0)</f>
        <v>0</v>
      </c>
      <c r="BA56" s="25">
        <f>SUM(Table1[[#This Row],[yr 6_wl]:[yr 6_pf]])</f>
        <v>0</v>
      </c>
      <c r="BB56" s="25">
        <f>IF(Table1[[#This Row],[Years_Next_Rehab_Well]]=7,VLOOKUP(Table1[[#This Row],[Item_Rehab_WL]],[1]!Table2[#All],10,FALSE),0)</f>
        <v>0</v>
      </c>
      <c r="BC56" s="25">
        <f>IF(Table1[[#This Row],[Adjusted_ULife_HP]]=7,VLOOKUP(Table1[[#This Row],[Item_Handpump]],[1]!Table2[#All],10,FALSE),0)</f>
        <v>0</v>
      </c>
      <c r="BD56" s="25">
        <f>IF(Table1[[#This Row],[Adjusted_ULife_PF]]=7,VLOOKUP(Table1[[#This Row],[Item_Platform]],[1]!Table2[#All],10,FALSE),0)</f>
        <v>3316.0221111091228</v>
      </c>
      <c r="BE56" s="25">
        <f>SUM(Table1[[#This Row],[yr 7_wl]:[yr 7_pf]])</f>
        <v>3316.0221111091228</v>
      </c>
      <c r="BF56" s="25">
        <f>IF(Table1[[#This Row],[Years_Next_Rehab_Well]]=8,VLOOKUP(Table1[[#This Row],[Item_Rehab_WL]],[1]!Table2[#All],11,FALSE),0)</f>
        <v>0</v>
      </c>
      <c r="BG56" s="25">
        <f>IF(Table1[[#This Row],[Adjusted_ULife_HP]]=8,VLOOKUP(Table1[[#This Row],[Item_Handpump]],[1]!Table2[#All],11,FALSE),0)</f>
        <v>0</v>
      </c>
      <c r="BH56" s="25">
        <f>IF(Table1[[#This Row],[Adjusted_ULife_PF]]=8,VLOOKUP(Table1[[#This Row],[Item_Platform]],[1]!Table2[#All],11,FALSE),0)</f>
        <v>0</v>
      </c>
      <c r="BI56" s="25">
        <f>SUM(Table1[[#This Row],[yr 8_wl]:[yr 8_pf]])</f>
        <v>0</v>
      </c>
      <c r="BJ56" s="25">
        <f>IF(Table1[[#This Row],[Years_Next_Rehab_Well]]=9,VLOOKUP(Table1[[#This Row],[Item_Rehab_WL]],[1]!Table2[#All],12,FALSE),0)</f>
        <v>0</v>
      </c>
      <c r="BK56" s="25">
        <f>IF(Table1[[#This Row],[Adjusted_ULife_HP]]=9,VLOOKUP(Table1[[#This Row],[Item_Handpump]],[1]!Table2[#All],12,FALSE),0)</f>
        <v>0</v>
      </c>
      <c r="BL56" s="25">
        <f>IF(Table1[[#This Row],[Adjusted_ULife_PF]]=9,VLOOKUP(Table1[[#This Row],[Item_Platform]],[1]!Table2[#All],12,FALSE),0)</f>
        <v>0</v>
      </c>
      <c r="BM56" s="25">
        <f>SUM(Table1[[#This Row],[yr 9_wl]:[yr 9_pf]])</f>
        <v>0</v>
      </c>
      <c r="BN56" s="25">
        <f>IF(Table1[[#This Row],[Years_Next_Rehab_Well]]=10,VLOOKUP(Table1[[#This Row],[Item_Rehab_WL]],[1]!Table2[#All],13,FALSE),0)</f>
        <v>0</v>
      </c>
      <c r="BO56" s="25">
        <f>IF(Table1[[#This Row],[Adjusted_ULife_HP]]=10,VLOOKUP(Table1[[#This Row],[Item_Handpump]],[1]!Table2[#All],13,FALSE),0)</f>
        <v>0</v>
      </c>
      <c r="BP56" s="25">
        <f>IF(Table1[[#This Row],[Adjusted_ULife_PF]]=10,VLOOKUP(Table1[[#This Row],[Item_Platform]],[1]!Table2[#All],13,FALSE),0)</f>
        <v>0</v>
      </c>
      <c r="BQ56" s="25">
        <f>SUM(Table1[[#This Row],[yr 10_wl]:[yr 10_pf]])</f>
        <v>0</v>
      </c>
      <c r="BR56" s="25">
        <f>IF(Table1[[#This Row],[Years_Next_Rehab_Well]]=11,VLOOKUP(Table1[[#This Row],[Item_Rehab_WL]],[1]!Table2[#All],14,FALSE),0)</f>
        <v>0</v>
      </c>
      <c r="BS56" s="25">
        <f>IF(Table1[[#This Row],[Adjusted_ULife_HP]]=11,VLOOKUP(Table1[[#This Row],[Item_Handpump]],[1]!Table2[#All],14,FALSE),0)</f>
        <v>0</v>
      </c>
      <c r="BT56" s="25">
        <f>IF(Table1[[#This Row],[Adjusted_ULife_PF]]=11,VLOOKUP(Table1[[#This Row],[Item_Platform]],[1]!Table2[#All],14,FALSE),0)</f>
        <v>0</v>
      </c>
      <c r="BU56" s="25">
        <f>SUM(Table1[[#This Row],[yr 11_wl]:[yr 11_pf]])</f>
        <v>0</v>
      </c>
      <c r="BV56" s="25">
        <f>IF(Table1[[#This Row],[Years_Next_Rehab_Well]]=12,VLOOKUP(Table1[[#This Row],[Item_Rehab_WL]],[1]!Table2[#All],15,FALSE),0)</f>
        <v>0</v>
      </c>
      <c r="BW56" s="25">
        <f>IF(Table1[[#This Row],[Adjusted_ULife_HP]]=12,VLOOKUP(Table1[[#This Row],[Item_Handpump]],[1]!Table2[#All],15,FALSE),0)</f>
        <v>0</v>
      </c>
      <c r="BX56" s="25">
        <f>IF(Table1[[#This Row],[Adjusted_ULife_PF]]=12,VLOOKUP(Table1[[#This Row],[Item_Platform]],[1]!Table2[#All],15,FALSE),0)</f>
        <v>0</v>
      </c>
      <c r="BY56" s="25">
        <f>SUM(Table1[[#This Row],[yr 12_wl]:[yr 12_pf]])</f>
        <v>0</v>
      </c>
      <c r="BZ56" s="25">
        <f>IF(Table1[[#This Row],[Years_Next_Rehab_Well]]=13,VLOOKUP(Table1[[#This Row],[Item_Rehab_WL]],[1]!Table2[#All],16,FALSE),0)</f>
        <v>0</v>
      </c>
      <c r="CA56" s="25">
        <f>IF(Table1[[#This Row],[Adjusted_ULife_HP]]=13,VLOOKUP(Table1[[#This Row],[Item_Handpump]],[1]!Table2[#All],16,FALSE),0)</f>
        <v>0</v>
      </c>
      <c r="CB56" s="25">
        <f>IF(Table1[[#This Row],[Adjusted_ULife_PF]]=13,VLOOKUP(Table1[[#This Row],[Item_Platform]],[1]!Table2[#All],16,FALSE),0)</f>
        <v>0</v>
      </c>
      <c r="CC56" s="25">
        <f>SUM(Table1[[#This Row],[yr 13_wl]:[yr 13_pf]])</f>
        <v>0</v>
      </c>
      <c r="CD56" s="12"/>
    </row>
    <row r="57" spans="1:82" s="11" customFormat="1" x14ac:dyDescent="0.25">
      <c r="A57" s="11" t="str">
        <f>IF([1]Input_monitoring_data!A53="","",[1]Input_monitoring_data!A53)</f>
        <v>8udx-wjn4-2r9t</v>
      </c>
      <c r="B57" s="22" t="str">
        <f>[1]Input_monitoring_data!BH53</f>
        <v>GOAMU</v>
      </c>
      <c r="C57" s="22" t="str">
        <f>[1]Input_monitoring_data!BI53</f>
        <v>KOJOKROM</v>
      </c>
      <c r="D57" s="22" t="str">
        <f>[1]Input_monitoring_data!P53</f>
        <v>7.000968213792633</v>
      </c>
      <c r="E57" s="22" t="str">
        <f>[1]Input_monitoring_data!Q53</f>
        <v>-2.501461152936124</v>
      </c>
      <c r="F57" s="22" t="str">
        <f>[1]Input_monitoring_data!V53</f>
        <v>TENESO ANOKYEKROM</v>
      </c>
      <c r="G57" s="23" t="str">
        <f>[1]Input_monitoring_data!U53</f>
        <v>Borehole</v>
      </c>
      <c r="H57" s="22">
        <f>[1]Input_monitoring_data!X53</f>
        <v>2016</v>
      </c>
      <c r="I57" s="21" t="str">
        <f>[1]Input_monitoring_data!AB53</f>
        <v>Borehole redevelopment</v>
      </c>
      <c r="J57" s="21">
        <f>[1]Input_monitoring_data!AC53</f>
        <v>0</v>
      </c>
      <c r="K57" s="23" t="str">
        <f>[1]Input_monitoring_data!W53</f>
        <v>AfriDev</v>
      </c>
      <c r="L57" s="22">
        <f>[1]Input_monitoring_data!X53</f>
        <v>2016</v>
      </c>
      <c r="M57" s="21" t="str">
        <f>IF([1]Input_monitoring_data!BL53&gt;'Point Sources_Asset_Register_'!L57,[1]Input_monitoring_data!BL53,"")</f>
        <v/>
      </c>
      <c r="N57" s="22" t="str">
        <f>[1]Input_monitoring_data!BQ53</f>
        <v>functional</v>
      </c>
      <c r="O57" s="22">
        <f>[1]Input_monitoring_data!AJ53</f>
        <v>0</v>
      </c>
      <c r="P57" s="23" t="s">
        <v>0</v>
      </c>
      <c r="Q57" s="22">
        <f>L57</f>
        <v>2016</v>
      </c>
      <c r="R57" s="21" t="str">
        <f>M57</f>
        <v/>
      </c>
      <c r="S57" s="20">
        <f>[1]Input_EUL_CRC_ERC!$B$17-Table1[[#This Row],[Year Installed_WL]]</f>
        <v>1</v>
      </c>
      <c r="T57" s="20">
        <f>[1]Input_EUL_CRC_ERC!$B$17-(IF(Table1[[#This Row],[Year Last_Rehab_WL ]]=0,Table1[[#This Row],[Year Installed_WL]],[1]Input_EUL_CRC_ERC!$B$17-Table1[[#This Row],[Year Last_Rehab_WL ]]))</f>
        <v>1</v>
      </c>
      <c r="U57" s="20">
        <f>(VLOOKUP(Table1[[#This Row],[Item_Rehab_WL]],[1]Input_EUL_CRC_ERC!$C$17:$E$27,2,FALSE)-Table1[[#This Row],[Last Rehab Age]])</f>
        <v>14</v>
      </c>
      <c r="V57" s="26">
        <f>[1]Input_EUL_CRC_ERC!$B$17-Table1[[#This Row],[Year Installed_HP]]</f>
        <v>1</v>
      </c>
      <c r="W57" s="26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57" s="26">
        <f>[1]Input_EUL_CRC_ERC!$B$17-Table1[[#This Row],[Year Installed_PF]]</f>
        <v>1</v>
      </c>
      <c r="Y57" s="26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57" s="25">
        <f>IF(Table1[[#This Row],[Years_Next_Rehab_Well]]&lt;=0,VLOOKUP(Table1[[#This Row],[Item_Rehab_WL]],[1]!Table2[#All],3,FALSE),0)</f>
        <v>0</v>
      </c>
      <c r="AA57" s="25">
        <f>IF(Table1[[#This Row],[Adjusted_ULife_HP]]&lt;=0,VLOOKUP(Table1[[#This Row],[Item_Handpump]],[1]!Table2[#All],3,FALSE),0)</f>
        <v>0</v>
      </c>
      <c r="AB57" s="25">
        <f>IF(Table1[[#This Row],[Adjusted_ULife_PF]]&lt;=0,VLOOKUP(Table1[[#This Row],[Item_Platform]],[1]!Table2[#All],3,FALSE),0)</f>
        <v>0</v>
      </c>
      <c r="AC57" s="25">
        <f>SUM(Table1[[#This Row],[current yr_wl]:[current yr_pf]])</f>
        <v>0</v>
      </c>
      <c r="AD57" s="25">
        <f>IF(Table1[[#This Row],[Years_Next_Rehab_Well]]=1,VLOOKUP(Table1[[#This Row],[Item_Rehab_WL]],[1]!Table2[#All],4,FALSE),0)</f>
        <v>0</v>
      </c>
      <c r="AE57" s="25">
        <f>IF(Table1[[#This Row],[Adjusted_ULife_HP]]=1,VLOOKUP(Table1[[#This Row],[Item_Handpump]],[1]!Table2[#All],4,FALSE),0)</f>
        <v>0</v>
      </c>
      <c r="AF57" s="25">
        <f>IF(Table1[[#This Row],[Adjusted_ULife_PF]]=1,VLOOKUP(Table1[[#This Row],[Item_Platform]],[1]!Table2[#All],4,FALSE),0)</f>
        <v>0</v>
      </c>
      <c r="AG57" s="25">
        <f>SUM(Table1[[#This Row],[yr 1_wl]:[yr 1_pf]])</f>
        <v>0</v>
      </c>
      <c r="AH57" s="25">
        <f>IF(Table1[[#This Row],[Years_Next_Rehab_Well]]=2,VLOOKUP(Table1[[#This Row],[Item_Rehab_WL]],[1]!Table2[#All],5,FALSE),0)</f>
        <v>0</v>
      </c>
      <c r="AI57" s="25">
        <f>IF(Table1[[#This Row],[Adjusted_ULife_HP]]=2,VLOOKUP(Table1[[#This Row],[Item_Handpump]],[1]!Table2[#All],5,FALSE),0)</f>
        <v>0</v>
      </c>
      <c r="AJ57" s="25">
        <f>IF(Table1[[#This Row],[Adjusted_ULife_PF]]=2,VLOOKUP(Table1[[#This Row],[Item_Platform]],[1]!Table2[#All],5,FALSE),0)</f>
        <v>0</v>
      </c>
      <c r="AK57" s="25">
        <f>SUM(Table1[[#This Row],[yr 2_wl]:[yr 2_pf]])</f>
        <v>0</v>
      </c>
      <c r="AL57" s="25">
        <f>IF(Table1[[#This Row],[Years_Next_Rehab_Well]]=3,VLOOKUP(Table1[[#This Row],[Item_Rehab_WL]],[1]!Table2[#All],6,FALSE),0)</f>
        <v>0</v>
      </c>
      <c r="AM57" s="25">
        <f>IF(Table1[[#This Row],[Adjusted_ULife_HP]]=3,VLOOKUP(Table1[[#This Row],[Item_Handpump]],[1]!Table2[#All],6,FALSE),0)</f>
        <v>0</v>
      </c>
      <c r="AN57" s="25">
        <f>IF(Table1[[#This Row],[Adjusted_ULife_PF]]=3,VLOOKUP(Table1[[#This Row],[Item_Platform]],[1]!Table2[#All],6,FALSE),0)</f>
        <v>0</v>
      </c>
      <c r="AO57" s="25">
        <f>SUM(Table1[[#This Row],[yr 3_wl]:[yr 3_pf]])</f>
        <v>0</v>
      </c>
      <c r="AP57" s="25">
        <f>IF(Table1[[#This Row],[Years_Next_Rehab_Well]]=4,VLOOKUP(Table1[[#This Row],[Item_Rehab_WL]],[1]!Table2[#All],7,FALSE),0)</f>
        <v>0</v>
      </c>
      <c r="AQ57" s="25">
        <f>IF(Table1[[#This Row],[Adjusted_ULife_HP]]=4,VLOOKUP(Table1[[#This Row],[Item_Handpump]],[1]!Table2[#All],7,FALSE),0)</f>
        <v>0</v>
      </c>
      <c r="AR57" s="25">
        <f>IF(Table1[[#This Row],[Adjusted_ULife_PF]]=4,VLOOKUP(Table1[[#This Row],[Item_Platform]],[1]!Table2[#All],7,FALSE),0)</f>
        <v>0</v>
      </c>
      <c r="AS57" s="25">
        <f>SUM(Table1[[#This Row],[yr 4_wl]:[yr 4_pf]])</f>
        <v>0</v>
      </c>
      <c r="AT57" s="25">
        <f>IF(Table1[[#This Row],[Years_Next_Rehab_Well]]=5,VLOOKUP(Table1[[#This Row],[Item_Rehab_WL]],[1]!Table2[#All],8,FALSE),0)</f>
        <v>0</v>
      </c>
      <c r="AU57" s="25">
        <f>IF(Table1[[#This Row],[Adjusted_ULife_HP]]=5,VLOOKUP(Table1[[#This Row],[Item_Handpump]],[1]!Table2[#All],8,FALSE),0)</f>
        <v>0</v>
      </c>
      <c r="AV57" s="25">
        <f>IF(Table1[[#This Row],[Adjusted_ULife_PF]]=5,VLOOKUP(Table1[[#This Row],[Item_Platform]],[1]!Table2[#All],8,FALSE),0)</f>
        <v>0</v>
      </c>
      <c r="AW57" s="25">
        <f>SUM(Table1[[#This Row],[yr 5_wl]:[yr 5_pf]])</f>
        <v>0</v>
      </c>
      <c r="AX57" s="25">
        <f>IF(Table1[[#This Row],[Years_Next_Rehab_Well]]=6,VLOOKUP(Table1[[#This Row],[Item_Rehab_WL]],[1]!Table2[#All],9,FALSE),0)</f>
        <v>0</v>
      </c>
      <c r="AY57" s="25">
        <f>IF(Table1[[#This Row],[Adjusted_ULife_HP]]=6,VLOOKUP(Table1[[#This Row],[Item_Handpump]],[1]!Table2[#All],9,FALSE),0)</f>
        <v>0</v>
      </c>
      <c r="AZ57" s="25">
        <f>IF(Table1[[#This Row],[Adjusted_ULife_PF]]=6,VLOOKUP(Table1[[#This Row],[Item_Platform]],[1]!Table2[#All],9,FALSE),0)</f>
        <v>0</v>
      </c>
      <c r="BA57" s="25">
        <f>SUM(Table1[[#This Row],[yr 6_wl]:[yr 6_pf]])</f>
        <v>0</v>
      </c>
      <c r="BB57" s="25">
        <f>IF(Table1[[#This Row],[Years_Next_Rehab_Well]]=7,VLOOKUP(Table1[[#This Row],[Item_Rehab_WL]],[1]!Table2[#All],10,FALSE),0)</f>
        <v>0</v>
      </c>
      <c r="BC57" s="25">
        <f>IF(Table1[[#This Row],[Adjusted_ULife_HP]]=7,VLOOKUP(Table1[[#This Row],[Item_Handpump]],[1]!Table2[#All],10,FALSE),0)</f>
        <v>0</v>
      </c>
      <c r="BD57" s="25">
        <f>IF(Table1[[#This Row],[Adjusted_ULife_PF]]=7,VLOOKUP(Table1[[#This Row],[Item_Platform]],[1]!Table2[#All],10,FALSE),0)</f>
        <v>0</v>
      </c>
      <c r="BE57" s="25">
        <f>SUM(Table1[[#This Row],[yr 7_wl]:[yr 7_pf]])</f>
        <v>0</v>
      </c>
      <c r="BF57" s="25">
        <f>IF(Table1[[#This Row],[Years_Next_Rehab_Well]]=8,VLOOKUP(Table1[[#This Row],[Item_Rehab_WL]],[1]!Table2[#All],11,FALSE),0)</f>
        <v>0</v>
      </c>
      <c r="BG57" s="25">
        <f>IF(Table1[[#This Row],[Adjusted_ULife_HP]]=8,VLOOKUP(Table1[[#This Row],[Item_Handpump]],[1]!Table2[#All],11,FALSE),0)</f>
        <v>0</v>
      </c>
      <c r="BH57" s="25">
        <f>IF(Table1[[#This Row],[Adjusted_ULife_PF]]=8,VLOOKUP(Table1[[#This Row],[Item_Platform]],[1]!Table2[#All],11,FALSE),0)</f>
        <v>0</v>
      </c>
      <c r="BI57" s="25">
        <f>SUM(Table1[[#This Row],[yr 8_wl]:[yr 8_pf]])</f>
        <v>0</v>
      </c>
      <c r="BJ57" s="25">
        <f>IF(Table1[[#This Row],[Years_Next_Rehab_Well]]=9,VLOOKUP(Table1[[#This Row],[Item_Rehab_WL]],[1]!Table2[#All],12,FALSE),0)</f>
        <v>0</v>
      </c>
      <c r="BK57" s="25">
        <f>IF(Table1[[#This Row],[Adjusted_ULife_HP]]=9,VLOOKUP(Table1[[#This Row],[Item_Handpump]],[1]!Table2[#All],12,FALSE),0)</f>
        <v>0</v>
      </c>
      <c r="BL57" s="25">
        <f>IF(Table1[[#This Row],[Adjusted_ULife_PF]]=9,VLOOKUP(Table1[[#This Row],[Item_Platform]],[1]!Table2[#All],12,FALSE),0)</f>
        <v>4159.6181361752842</v>
      </c>
      <c r="BM57" s="25">
        <f>SUM(Table1[[#This Row],[yr 9_wl]:[yr 9_pf]])</f>
        <v>4159.6181361752842</v>
      </c>
      <c r="BN57" s="25">
        <f>IF(Table1[[#This Row],[Years_Next_Rehab_Well]]=10,VLOOKUP(Table1[[#This Row],[Item_Rehab_WL]],[1]!Table2[#All],13,FALSE),0)</f>
        <v>0</v>
      </c>
      <c r="BO57" s="25">
        <f>IF(Table1[[#This Row],[Adjusted_ULife_HP]]=10,VLOOKUP(Table1[[#This Row],[Item_Handpump]],[1]!Table2[#All],13,FALSE),0)</f>
        <v>0</v>
      </c>
      <c r="BP57" s="25">
        <f>IF(Table1[[#This Row],[Adjusted_ULife_PF]]=10,VLOOKUP(Table1[[#This Row],[Item_Platform]],[1]!Table2[#All],13,FALSE),0)</f>
        <v>0</v>
      </c>
      <c r="BQ57" s="25">
        <f>SUM(Table1[[#This Row],[yr 10_wl]:[yr 10_pf]])</f>
        <v>0</v>
      </c>
      <c r="BR57" s="25">
        <f>IF(Table1[[#This Row],[Years_Next_Rehab_Well]]=11,VLOOKUP(Table1[[#This Row],[Item_Rehab_WL]],[1]!Table2[#All],14,FALSE),0)</f>
        <v>0</v>
      </c>
      <c r="BS57" s="25">
        <f>IF(Table1[[#This Row],[Adjusted_ULife_HP]]=11,VLOOKUP(Table1[[#This Row],[Item_Handpump]],[1]!Table2[#All],14,FALSE),0)</f>
        <v>0</v>
      </c>
      <c r="BT57" s="25">
        <f>IF(Table1[[#This Row],[Adjusted_ULife_PF]]=11,VLOOKUP(Table1[[#This Row],[Item_Platform]],[1]!Table2[#All],14,FALSE),0)</f>
        <v>0</v>
      </c>
      <c r="BU57" s="25">
        <f>SUM(Table1[[#This Row],[yr 11_wl]:[yr 11_pf]])</f>
        <v>0</v>
      </c>
      <c r="BV57" s="25">
        <f>IF(Table1[[#This Row],[Years_Next_Rehab_Well]]=12,VLOOKUP(Table1[[#This Row],[Item_Rehab_WL]],[1]!Table2[#All],15,FALSE),0)</f>
        <v>0</v>
      </c>
      <c r="BW57" s="25">
        <f>IF(Table1[[#This Row],[Adjusted_ULife_HP]]=12,VLOOKUP(Table1[[#This Row],[Item_Handpump]],[1]!Table2[#All],15,FALSE),0)</f>
        <v>0</v>
      </c>
      <c r="BX57" s="25">
        <f>IF(Table1[[#This Row],[Adjusted_ULife_PF]]=12,VLOOKUP(Table1[[#This Row],[Item_Platform]],[1]!Table2[#All],15,FALSE),0)</f>
        <v>0</v>
      </c>
      <c r="BY57" s="25">
        <f>SUM(Table1[[#This Row],[yr 12_wl]:[yr 12_pf]])</f>
        <v>0</v>
      </c>
      <c r="BZ57" s="25">
        <f>IF(Table1[[#This Row],[Years_Next_Rehab_Well]]=13,VLOOKUP(Table1[[#This Row],[Item_Rehab_WL]],[1]!Table2[#All],16,FALSE),0)</f>
        <v>0</v>
      </c>
      <c r="CA57" s="25">
        <f>IF(Table1[[#This Row],[Adjusted_ULife_HP]]=13,VLOOKUP(Table1[[#This Row],[Item_Handpump]],[1]!Table2[#All],16,FALSE),0)</f>
        <v>0</v>
      </c>
      <c r="CB57" s="25">
        <f>IF(Table1[[#This Row],[Adjusted_ULife_PF]]=13,VLOOKUP(Table1[[#This Row],[Item_Platform]],[1]!Table2[#All],16,FALSE),0)</f>
        <v>0</v>
      </c>
      <c r="CC57" s="25">
        <f>SUM(Table1[[#This Row],[yr 13_wl]:[yr 13_pf]])</f>
        <v>0</v>
      </c>
      <c r="CD57" s="12"/>
    </row>
    <row r="58" spans="1:82" s="11" customFormat="1" x14ac:dyDescent="0.25">
      <c r="A58" s="11" t="str">
        <f>IF([1]Input_monitoring_data!A54="","",[1]Input_monitoring_data!A54)</f>
        <v>90ar-sxvf-89f7</v>
      </c>
      <c r="B58" s="22" t="str">
        <f>[1]Input_monitoring_data!BH54</f>
        <v>Goamu</v>
      </c>
      <c r="C58" s="22" t="str">
        <f>[1]Input_monitoring_data!BI54</f>
        <v>Atwedie Kenyasi No.3</v>
      </c>
      <c r="D58" s="22" t="str">
        <f>[1]Input_monitoring_data!P54</f>
        <v>7.030336839147207</v>
      </c>
      <c r="E58" s="22" t="str">
        <f>[1]Input_monitoring_data!Q54</f>
        <v>-2.4760195139825587</v>
      </c>
      <c r="F58" s="22" t="str">
        <f>[1]Input_monitoring_data!V54</f>
        <v>Adjacent The Methodist Church</v>
      </c>
      <c r="G58" s="23" t="str">
        <f>[1]Input_monitoring_data!U54</f>
        <v>Borehole</v>
      </c>
      <c r="H58" s="22">
        <f>[1]Input_monitoring_data!X54</f>
        <v>1990</v>
      </c>
      <c r="I58" s="21" t="str">
        <f>[1]Input_monitoring_data!AB54</f>
        <v>Borehole redevelopment</v>
      </c>
      <c r="J58" s="21">
        <f>[1]Input_monitoring_data!AC54</f>
        <v>0</v>
      </c>
      <c r="K58" s="23" t="str">
        <f>[1]Input_monitoring_data!W54</f>
        <v>AfriDev</v>
      </c>
      <c r="L58" s="22">
        <f>[1]Input_monitoring_data!X54</f>
        <v>1990</v>
      </c>
      <c r="M58" s="21">
        <f>IF([1]Input_monitoring_data!BL54&gt;'Point Sources_Asset_Register_'!L58,[1]Input_monitoring_data!BL54,"")</f>
        <v>2014</v>
      </c>
      <c r="N58" s="22" t="str">
        <f>[1]Input_monitoring_data!BQ54</f>
        <v>not functional</v>
      </c>
      <c r="O58" s="22">
        <f>[1]Input_monitoring_data!AJ54</f>
        <v>0</v>
      </c>
      <c r="P58" s="23" t="s">
        <v>0</v>
      </c>
      <c r="Q58" s="22">
        <f>L58</f>
        <v>1990</v>
      </c>
      <c r="R58" s="21">
        <f>M58</f>
        <v>2014</v>
      </c>
      <c r="S58" s="20">
        <f>[1]Input_EUL_CRC_ERC!$B$17-Table1[[#This Row],[Year Installed_WL]]</f>
        <v>27</v>
      </c>
      <c r="T58" s="20">
        <f>[1]Input_EUL_CRC_ERC!$B$17-(IF(Table1[[#This Row],[Year Last_Rehab_WL ]]=0,Table1[[#This Row],[Year Installed_WL]],[1]Input_EUL_CRC_ERC!$B$17-Table1[[#This Row],[Year Last_Rehab_WL ]]))</f>
        <v>27</v>
      </c>
      <c r="U58" s="20">
        <f>(VLOOKUP(Table1[[#This Row],[Item_Rehab_WL]],[1]Input_EUL_CRC_ERC!$C$17:$E$27,2,FALSE)-Table1[[#This Row],[Last Rehab Age]])</f>
        <v>-12</v>
      </c>
      <c r="V58" s="19">
        <f>[1]Input_EUL_CRC_ERC!$B$17-Table1[[#This Row],[Year Installed_HP]]</f>
        <v>27</v>
      </c>
      <c r="W58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58" s="19">
        <f>[1]Input_EUL_CRC_ERC!$B$17-Table1[[#This Row],[Year Installed_PF]]</f>
        <v>27</v>
      </c>
      <c r="Y58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58" s="25">
        <f>IF(Table1[[#This Row],[Years_Next_Rehab_Well]]&lt;=0,VLOOKUP(Table1[[#This Row],[Item_Rehab_WL]],[1]!Table2[#All],3,FALSE),0)</f>
        <v>3666.6666666666665</v>
      </c>
      <c r="AA58" s="18">
        <f>IF(Table1[[#This Row],[Adjusted_ULife_HP]]&lt;=0,VLOOKUP(Table1[[#This Row],[Item_Handpump]],[1]!Table2[#All],3,FALSE),0)</f>
        <v>0</v>
      </c>
      <c r="AB58" s="18">
        <f>IF(Table1[[#This Row],[Adjusted_ULife_PF]]&lt;=0,VLOOKUP(Table1[[#This Row],[Item_Platform]],[1]!Table2[#All],3,FALSE),0)</f>
        <v>0</v>
      </c>
      <c r="AC58" s="18">
        <f>SUM(Table1[[#This Row],[current yr_wl]:[current yr_pf]])</f>
        <v>3666.6666666666665</v>
      </c>
      <c r="AD58" s="25">
        <f>IF(Table1[[#This Row],[Years_Next_Rehab_Well]]=1,VLOOKUP(Table1[[#This Row],[Item_Rehab_WL]],[1]!Table2[#All],4,FALSE),0)</f>
        <v>0</v>
      </c>
      <c r="AE58" s="25">
        <f>IF(Table1[[#This Row],[Adjusted_ULife_HP]]=1,VLOOKUP(Table1[[#This Row],[Item_Handpump]],[1]!Table2[#All],4,FALSE),0)</f>
        <v>0</v>
      </c>
      <c r="AF58" s="25">
        <f>IF(Table1[[#This Row],[Adjusted_ULife_PF]]=1,VLOOKUP(Table1[[#This Row],[Item_Platform]],[1]!Table2[#All],4,FALSE),0)</f>
        <v>0</v>
      </c>
      <c r="AG58" s="25">
        <f>SUM(Table1[[#This Row],[yr 1_wl]:[yr 1_pf]])</f>
        <v>0</v>
      </c>
      <c r="AH58" s="25">
        <f>IF(Table1[[#This Row],[Years_Next_Rehab_Well]]=2,VLOOKUP(Table1[[#This Row],[Item_Rehab_WL]],[1]!Table2[#All],5,FALSE),0)</f>
        <v>0</v>
      </c>
      <c r="AI58" s="25">
        <f>IF(Table1[[#This Row],[Adjusted_ULife_HP]]=2,VLOOKUP(Table1[[#This Row],[Item_Handpump]],[1]!Table2[#All],5,FALSE),0)</f>
        <v>0</v>
      </c>
      <c r="AJ58" s="25">
        <f>IF(Table1[[#This Row],[Adjusted_ULife_PF]]=2,VLOOKUP(Table1[[#This Row],[Item_Platform]],[1]!Table2[#All],5,FALSE),0)</f>
        <v>0</v>
      </c>
      <c r="AK58" s="25">
        <f>SUM(Table1[[#This Row],[yr 2_wl]:[yr 2_pf]])</f>
        <v>0</v>
      </c>
      <c r="AL58" s="25">
        <f>IF(Table1[[#This Row],[Years_Next_Rehab_Well]]=3,VLOOKUP(Table1[[#This Row],[Item_Rehab_WL]],[1]!Table2[#All],6,FALSE),0)</f>
        <v>0</v>
      </c>
      <c r="AM58" s="25">
        <f>IF(Table1[[#This Row],[Adjusted_ULife_HP]]=3,VLOOKUP(Table1[[#This Row],[Item_Handpump]],[1]!Table2[#All],6,FALSE),0)</f>
        <v>0</v>
      </c>
      <c r="AN58" s="25">
        <f>IF(Table1[[#This Row],[Adjusted_ULife_PF]]=3,VLOOKUP(Table1[[#This Row],[Item_Platform]],[1]!Table2[#All],6,FALSE),0)</f>
        <v>0</v>
      </c>
      <c r="AO58" s="25">
        <f>SUM(Table1[[#This Row],[yr 3_wl]:[yr 3_pf]])</f>
        <v>0</v>
      </c>
      <c r="AP58" s="25">
        <f>IF(Table1[[#This Row],[Years_Next_Rehab_Well]]=4,VLOOKUP(Table1[[#This Row],[Item_Rehab_WL]],[1]!Table2[#All],7,FALSE),0)</f>
        <v>0</v>
      </c>
      <c r="AQ58" s="25">
        <f>IF(Table1[[#This Row],[Adjusted_ULife_HP]]=4,VLOOKUP(Table1[[#This Row],[Item_Handpump]],[1]!Table2[#All],7,FALSE),0)</f>
        <v>0</v>
      </c>
      <c r="AR58" s="25">
        <f>IF(Table1[[#This Row],[Adjusted_ULife_PF]]=4,VLOOKUP(Table1[[#This Row],[Item_Platform]],[1]!Table2[#All],7,FALSE),0)</f>
        <v>0</v>
      </c>
      <c r="AS58" s="25">
        <f>SUM(Table1[[#This Row],[yr 4_wl]:[yr 4_pf]])</f>
        <v>0</v>
      </c>
      <c r="AT58" s="25">
        <f>IF(Table1[[#This Row],[Years_Next_Rehab_Well]]=5,VLOOKUP(Table1[[#This Row],[Item_Rehab_WL]],[1]!Table2[#All],8,FALSE),0)</f>
        <v>0</v>
      </c>
      <c r="AU58" s="25">
        <f>IF(Table1[[#This Row],[Adjusted_ULife_HP]]=5,VLOOKUP(Table1[[#This Row],[Item_Handpump]],[1]!Table2[#All],8,FALSE),0)</f>
        <v>0</v>
      </c>
      <c r="AV58" s="25">
        <f>IF(Table1[[#This Row],[Adjusted_ULife_PF]]=5,VLOOKUP(Table1[[#This Row],[Item_Platform]],[1]!Table2[#All],8,FALSE),0)</f>
        <v>0</v>
      </c>
      <c r="AW58" s="25">
        <f>SUM(Table1[[#This Row],[yr 5_wl]:[yr 5_pf]])</f>
        <v>0</v>
      </c>
      <c r="AX58" s="25">
        <f>IF(Table1[[#This Row],[Years_Next_Rehab_Well]]=6,VLOOKUP(Table1[[#This Row],[Item_Rehab_WL]],[1]!Table2[#All],9,FALSE),0)</f>
        <v>0</v>
      </c>
      <c r="AY58" s="25">
        <f>IF(Table1[[#This Row],[Adjusted_ULife_HP]]=6,VLOOKUP(Table1[[#This Row],[Item_Handpump]],[1]!Table2[#All],9,FALSE),0)</f>
        <v>0</v>
      </c>
      <c r="AZ58" s="25">
        <f>IF(Table1[[#This Row],[Adjusted_ULife_PF]]=6,VLOOKUP(Table1[[#This Row],[Item_Platform]],[1]!Table2[#All],9,FALSE),0)</f>
        <v>0</v>
      </c>
      <c r="BA58" s="25">
        <f>SUM(Table1[[#This Row],[yr 6_wl]:[yr 6_pf]])</f>
        <v>0</v>
      </c>
      <c r="BB58" s="25">
        <f>IF(Table1[[#This Row],[Years_Next_Rehab_Well]]=7,VLOOKUP(Table1[[#This Row],[Item_Rehab_WL]],[1]!Table2[#All],10,FALSE),0)</f>
        <v>0</v>
      </c>
      <c r="BC58" s="25">
        <f>IF(Table1[[#This Row],[Adjusted_ULife_HP]]=7,VLOOKUP(Table1[[#This Row],[Item_Handpump]],[1]!Table2[#All],10,FALSE),0)</f>
        <v>0</v>
      </c>
      <c r="BD58" s="25">
        <f>IF(Table1[[#This Row],[Adjusted_ULife_PF]]=7,VLOOKUP(Table1[[#This Row],[Item_Platform]],[1]!Table2[#All],10,FALSE),0)</f>
        <v>3316.0221111091228</v>
      </c>
      <c r="BE58" s="25">
        <f>SUM(Table1[[#This Row],[yr 7_wl]:[yr 7_pf]])</f>
        <v>3316.0221111091228</v>
      </c>
      <c r="BF58" s="25">
        <f>IF(Table1[[#This Row],[Years_Next_Rehab_Well]]=8,VLOOKUP(Table1[[#This Row],[Item_Rehab_WL]],[1]!Table2[#All],11,FALSE),0)</f>
        <v>0</v>
      </c>
      <c r="BG58" s="25">
        <f>IF(Table1[[#This Row],[Adjusted_ULife_HP]]=8,VLOOKUP(Table1[[#This Row],[Item_Handpump]],[1]!Table2[#All],11,FALSE),0)</f>
        <v>0</v>
      </c>
      <c r="BH58" s="25">
        <f>IF(Table1[[#This Row],[Adjusted_ULife_PF]]=8,VLOOKUP(Table1[[#This Row],[Item_Platform]],[1]!Table2[#All],11,FALSE),0)</f>
        <v>0</v>
      </c>
      <c r="BI58" s="25">
        <f>SUM(Table1[[#This Row],[yr 8_wl]:[yr 8_pf]])</f>
        <v>0</v>
      </c>
      <c r="BJ58" s="25">
        <f>IF(Table1[[#This Row],[Years_Next_Rehab_Well]]=9,VLOOKUP(Table1[[#This Row],[Item_Rehab_WL]],[1]!Table2[#All],12,FALSE),0)</f>
        <v>0</v>
      </c>
      <c r="BK58" s="25">
        <f>IF(Table1[[#This Row],[Adjusted_ULife_HP]]=9,VLOOKUP(Table1[[#This Row],[Item_Handpump]],[1]!Table2[#All],12,FALSE),0)</f>
        <v>0</v>
      </c>
      <c r="BL58" s="25">
        <f>IF(Table1[[#This Row],[Adjusted_ULife_PF]]=9,VLOOKUP(Table1[[#This Row],[Item_Platform]],[1]!Table2[#All],12,FALSE),0)</f>
        <v>0</v>
      </c>
      <c r="BM58" s="25">
        <f>SUM(Table1[[#This Row],[yr 9_wl]:[yr 9_pf]])</f>
        <v>0</v>
      </c>
      <c r="BN58" s="25">
        <f>IF(Table1[[#This Row],[Years_Next_Rehab_Well]]=10,VLOOKUP(Table1[[#This Row],[Item_Rehab_WL]],[1]!Table2[#All],13,FALSE),0)</f>
        <v>0</v>
      </c>
      <c r="BO58" s="25">
        <f>IF(Table1[[#This Row],[Adjusted_ULife_HP]]=10,VLOOKUP(Table1[[#This Row],[Item_Handpump]],[1]!Table2[#All],13,FALSE),0)</f>
        <v>0</v>
      </c>
      <c r="BP58" s="25">
        <f>IF(Table1[[#This Row],[Adjusted_ULife_PF]]=10,VLOOKUP(Table1[[#This Row],[Item_Platform]],[1]!Table2[#All],13,FALSE),0)</f>
        <v>0</v>
      </c>
      <c r="BQ58" s="25">
        <f>SUM(Table1[[#This Row],[yr 10_wl]:[yr 10_pf]])</f>
        <v>0</v>
      </c>
      <c r="BR58" s="25">
        <f>IF(Table1[[#This Row],[Years_Next_Rehab_Well]]=11,VLOOKUP(Table1[[#This Row],[Item_Rehab_WL]],[1]!Table2[#All],14,FALSE),0)</f>
        <v>0</v>
      </c>
      <c r="BS58" s="25">
        <f>IF(Table1[[#This Row],[Adjusted_ULife_HP]]=11,VLOOKUP(Table1[[#This Row],[Item_Handpump]],[1]!Table2[#All],14,FALSE),0)</f>
        <v>0</v>
      </c>
      <c r="BT58" s="25">
        <f>IF(Table1[[#This Row],[Adjusted_ULife_PF]]=11,VLOOKUP(Table1[[#This Row],[Item_Platform]],[1]!Table2[#All],14,FALSE),0)</f>
        <v>0</v>
      </c>
      <c r="BU58" s="25">
        <f>SUM(Table1[[#This Row],[yr 11_wl]:[yr 11_pf]])</f>
        <v>0</v>
      </c>
      <c r="BV58" s="25">
        <f>IF(Table1[[#This Row],[Years_Next_Rehab_Well]]=12,VLOOKUP(Table1[[#This Row],[Item_Rehab_WL]],[1]!Table2[#All],15,FALSE),0)</f>
        <v>0</v>
      </c>
      <c r="BW58" s="25">
        <f>IF(Table1[[#This Row],[Adjusted_ULife_HP]]=12,VLOOKUP(Table1[[#This Row],[Item_Handpump]],[1]!Table2[#All],15,FALSE),0)</f>
        <v>0</v>
      </c>
      <c r="BX58" s="25">
        <f>IF(Table1[[#This Row],[Adjusted_ULife_PF]]=12,VLOOKUP(Table1[[#This Row],[Item_Platform]],[1]!Table2[#All],15,FALSE),0)</f>
        <v>0</v>
      </c>
      <c r="BY58" s="25">
        <f>SUM(Table1[[#This Row],[yr 12_wl]:[yr 12_pf]])</f>
        <v>0</v>
      </c>
      <c r="BZ58" s="25">
        <f>IF(Table1[[#This Row],[Years_Next_Rehab_Well]]=13,VLOOKUP(Table1[[#This Row],[Item_Rehab_WL]],[1]!Table2[#All],16,FALSE),0)</f>
        <v>0</v>
      </c>
      <c r="CA58" s="25">
        <f>IF(Table1[[#This Row],[Adjusted_ULife_HP]]=13,VLOOKUP(Table1[[#This Row],[Item_Handpump]],[1]!Table2[#All],16,FALSE),0)</f>
        <v>0</v>
      </c>
      <c r="CB58" s="25">
        <f>IF(Table1[[#This Row],[Adjusted_ULife_PF]]=13,VLOOKUP(Table1[[#This Row],[Item_Platform]],[1]!Table2[#All],16,FALSE),0)</f>
        <v>0</v>
      </c>
      <c r="CC58" s="25">
        <f>SUM(Table1[[#This Row],[yr 13_wl]:[yr 13_pf]])</f>
        <v>0</v>
      </c>
      <c r="CD58" s="12"/>
    </row>
    <row r="59" spans="1:82" s="11" customFormat="1" x14ac:dyDescent="0.25">
      <c r="A59" s="11" t="str">
        <f>IF([1]Input_monitoring_data!A55="","",[1]Input_monitoring_data!A55)</f>
        <v>91xf-nrc9-kvg5</v>
      </c>
      <c r="B59" s="22" t="str">
        <f>[1]Input_monitoring_data!BH55</f>
        <v>Kenyasi No.1</v>
      </c>
      <c r="C59" s="22" t="str">
        <f>[1]Input_monitoring_data!BI55</f>
        <v>Esinanim Town</v>
      </c>
      <c r="D59" s="22" t="str">
        <f>[1]Input_monitoring_data!P55</f>
        <v>6.988789843700871</v>
      </c>
      <c r="E59" s="22" t="str">
        <f>[1]Input_monitoring_data!Q55</f>
        <v>-2.4452435655456726</v>
      </c>
      <c r="F59" s="22" t="str">
        <f>[1]Input_monitoring_data!V55</f>
        <v>Opposit Amariya's House</v>
      </c>
      <c r="G59" s="23" t="str">
        <f>[1]Input_monitoring_data!U55</f>
        <v>Borehole</v>
      </c>
      <c r="H59" s="22">
        <f>[1]Input_monitoring_data!X55</f>
        <v>2013</v>
      </c>
      <c r="I59" s="21" t="str">
        <f>[1]Input_monitoring_data!AB55</f>
        <v>Borehole redevelopment</v>
      </c>
      <c r="J59" s="21">
        <f>[1]Input_monitoring_data!AC55</f>
        <v>0</v>
      </c>
      <c r="K59" s="23" t="str">
        <f>[1]Input_monitoring_data!W55</f>
        <v>Solar Pump</v>
      </c>
      <c r="L59" s="22">
        <f>[1]Input_monitoring_data!X55</f>
        <v>2013</v>
      </c>
      <c r="M59" s="21" t="str">
        <f>IF([1]Input_monitoring_data!BL55&gt;'Point Sources_Asset_Register_'!L59,[1]Input_monitoring_data!BL55,"")</f>
        <v/>
      </c>
      <c r="N59" s="22" t="str">
        <f>[1]Input_monitoring_data!BQ55</f>
        <v>functional</v>
      </c>
      <c r="O59" s="22">
        <f>[1]Input_monitoring_data!AJ55</f>
        <v>0</v>
      </c>
      <c r="P59" s="23" t="s">
        <v>0</v>
      </c>
      <c r="Q59" s="22">
        <f>L59</f>
        <v>2013</v>
      </c>
      <c r="R59" s="21" t="str">
        <f>M59</f>
        <v/>
      </c>
      <c r="S59" s="20">
        <f>[1]Input_EUL_CRC_ERC!$B$17-Table1[[#This Row],[Year Installed_WL]]</f>
        <v>4</v>
      </c>
      <c r="T59" s="20">
        <f>[1]Input_EUL_CRC_ERC!$B$17-(IF(Table1[[#This Row],[Year Last_Rehab_WL ]]=0,Table1[[#This Row],[Year Installed_WL]],[1]Input_EUL_CRC_ERC!$B$17-Table1[[#This Row],[Year Last_Rehab_WL ]]))</f>
        <v>4</v>
      </c>
      <c r="U59" s="20">
        <f>(VLOOKUP(Table1[[#This Row],[Item_Rehab_WL]],[1]Input_EUL_CRC_ERC!$C$17:$E$27,2,FALSE)-Table1[[#This Row],[Last Rehab Age]])</f>
        <v>11</v>
      </c>
      <c r="V59" s="19">
        <f>[1]Input_EUL_CRC_ERC!$B$17-Table1[[#This Row],[Year Installed_HP]]</f>
        <v>4</v>
      </c>
      <c r="W59" s="19">
        <f>(VLOOKUP(Table1[[#This Row],[Item_Handpump]],[1]!Table2[#All],2,FALSE))-(IF(Table1[[#This Row],[Year Last_Rehab_HP]]="",Table1[[#This Row],[Current Age_Handpump]],[1]Input_EUL_CRC_ERC!$B$17-Table1[[#This Row],[Year Last_Rehab_HP]]))</f>
        <v>6</v>
      </c>
      <c r="X59" s="19">
        <f>[1]Input_EUL_CRC_ERC!$B$17-Table1[[#This Row],[Year Installed_PF]]</f>
        <v>4</v>
      </c>
      <c r="Y59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59" s="25">
        <f>IF(Table1[[#This Row],[Years_Next_Rehab_Well]]&lt;=0,VLOOKUP(Table1[[#This Row],[Item_Rehab_WL]],[1]!Table2[#All],3,FALSE),0)</f>
        <v>0</v>
      </c>
      <c r="AA59" s="18">
        <f>IF(Table1[[#This Row],[Adjusted_ULife_HP]]&lt;=0,VLOOKUP(Table1[[#This Row],[Item_Handpump]],[1]!Table2[#All],3,FALSE),0)</f>
        <v>0</v>
      </c>
      <c r="AB59" s="18">
        <f>IF(Table1[[#This Row],[Adjusted_ULife_PF]]&lt;=0,VLOOKUP(Table1[[#This Row],[Item_Platform]],[1]!Table2[#All],3,FALSE),0)</f>
        <v>0</v>
      </c>
      <c r="AC59" s="18">
        <f>SUM(Table1[[#This Row],[current yr_wl]:[current yr_pf]])</f>
        <v>0</v>
      </c>
      <c r="AD59" s="25">
        <f>IF(Table1[[#This Row],[Years_Next_Rehab_Well]]=1,VLOOKUP(Table1[[#This Row],[Item_Rehab_WL]],[1]!Table2[#All],4,FALSE),0)</f>
        <v>0</v>
      </c>
      <c r="AE59" s="25">
        <f>IF(Table1[[#This Row],[Adjusted_ULife_HP]]=1,VLOOKUP(Table1[[#This Row],[Item_Handpump]],[1]!Table2[#All],4,FALSE),0)</f>
        <v>0</v>
      </c>
      <c r="AF59" s="25">
        <f>IF(Table1[[#This Row],[Adjusted_ULife_PF]]=1,VLOOKUP(Table1[[#This Row],[Item_Platform]],[1]!Table2[#All],4,FALSE),0)</f>
        <v>0</v>
      </c>
      <c r="AG59" s="25">
        <f>SUM(Table1[[#This Row],[yr 1_wl]:[yr 1_pf]])</f>
        <v>0</v>
      </c>
      <c r="AH59" s="25">
        <f>IF(Table1[[#This Row],[Years_Next_Rehab_Well]]=2,VLOOKUP(Table1[[#This Row],[Item_Rehab_WL]],[1]!Table2[#All],5,FALSE),0)</f>
        <v>0</v>
      </c>
      <c r="AI59" s="25">
        <f>IF(Table1[[#This Row],[Adjusted_ULife_HP]]=2,VLOOKUP(Table1[[#This Row],[Item_Handpump]],[1]!Table2[#All],5,FALSE),0)</f>
        <v>0</v>
      </c>
      <c r="AJ59" s="25">
        <f>IF(Table1[[#This Row],[Adjusted_ULife_PF]]=2,VLOOKUP(Table1[[#This Row],[Item_Platform]],[1]!Table2[#All],5,FALSE),0)</f>
        <v>0</v>
      </c>
      <c r="AK59" s="25">
        <f>SUM(Table1[[#This Row],[yr 2_wl]:[yr 2_pf]])</f>
        <v>0</v>
      </c>
      <c r="AL59" s="25">
        <f>IF(Table1[[#This Row],[Years_Next_Rehab_Well]]=3,VLOOKUP(Table1[[#This Row],[Item_Rehab_WL]],[1]!Table2[#All],6,FALSE),0)</f>
        <v>0</v>
      </c>
      <c r="AM59" s="25">
        <f>IF(Table1[[#This Row],[Adjusted_ULife_HP]]=3,VLOOKUP(Table1[[#This Row],[Item_Handpump]],[1]!Table2[#All],6,FALSE),0)</f>
        <v>0</v>
      </c>
      <c r="AN59" s="25">
        <f>IF(Table1[[#This Row],[Adjusted_ULife_PF]]=3,VLOOKUP(Table1[[#This Row],[Item_Platform]],[1]!Table2[#All],6,FALSE),0)</f>
        <v>0</v>
      </c>
      <c r="AO59" s="25">
        <f>SUM(Table1[[#This Row],[yr 3_wl]:[yr 3_pf]])</f>
        <v>0</v>
      </c>
      <c r="AP59" s="25">
        <f>IF(Table1[[#This Row],[Years_Next_Rehab_Well]]=4,VLOOKUP(Table1[[#This Row],[Item_Rehab_WL]],[1]!Table2[#All],7,FALSE),0)</f>
        <v>0</v>
      </c>
      <c r="AQ59" s="25">
        <f>IF(Table1[[#This Row],[Adjusted_ULife_HP]]=4,VLOOKUP(Table1[[#This Row],[Item_Handpump]],[1]!Table2[#All],7,FALSE),0)</f>
        <v>0</v>
      </c>
      <c r="AR59" s="25">
        <f>IF(Table1[[#This Row],[Adjusted_ULife_PF]]=4,VLOOKUP(Table1[[#This Row],[Item_Platform]],[1]!Table2[#All],7,FALSE),0)</f>
        <v>0</v>
      </c>
      <c r="AS59" s="25">
        <f>SUM(Table1[[#This Row],[yr 4_wl]:[yr 4_pf]])</f>
        <v>0</v>
      </c>
      <c r="AT59" s="25">
        <f>IF(Table1[[#This Row],[Years_Next_Rehab_Well]]=5,VLOOKUP(Table1[[#This Row],[Item_Rehab_WL]],[1]!Table2[#All],8,FALSE),0)</f>
        <v>0</v>
      </c>
      <c r="AU59" s="25">
        <f>IF(Table1[[#This Row],[Adjusted_ULife_HP]]=5,VLOOKUP(Table1[[#This Row],[Item_Handpump]],[1]!Table2[#All],8,FALSE),0)</f>
        <v>0</v>
      </c>
      <c r="AV59" s="25">
        <f>IF(Table1[[#This Row],[Adjusted_ULife_PF]]=5,VLOOKUP(Table1[[#This Row],[Item_Platform]],[1]!Table2[#All],8,FALSE),0)</f>
        <v>0</v>
      </c>
      <c r="AW59" s="25">
        <f>SUM(Table1[[#This Row],[yr 5_wl]:[yr 5_pf]])</f>
        <v>0</v>
      </c>
      <c r="AX59" s="25">
        <f>IF(Table1[[#This Row],[Years_Next_Rehab_Well]]=6,VLOOKUP(Table1[[#This Row],[Item_Rehab_WL]],[1]!Table2[#All],9,FALSE),0)</f>
        <v>0</v>
      </c>
      <c r="AY59" s="25">
        <f>IF(Table1[[#This Row],[Adjusted_ULife_HP]]=6,VLOOKUP(Table1[[#This Row],[Item_Handpump]],[1]!Table2[#All],9,FALSE),0)</f>
        <v>789.52907407360033</v>
      </c>
      <c r="AZ59" s="25">
        <f>IF(Table1[[#This Row],[Adjusted_ULife_PF]]=6,VLOOKUP(Table1[[#This Row],[Item_Platform]],[1]!Table2[#All],9,FALSE),0)</f>
        <v>2960.7340277760022</v>
      </c>
      <c r="BA59" s="25">
        <f>SUM(Table1[[#This Row],[yr 6_wl]:[yr 6_pf]])</f>
        <v>3750.2631018496027</v>
      </c>
      <c r="BB59" s="25">
        <f>IF(Table1[[#This Row],[Years_Next_Rehab_Well]]=7,VLOOKUP(Table1[[#This Row],[Item_Rehab_WL]],[1]!Table2[#All],10,FALSE),0)</f>
        <v>0</v>
      </c>
      <c r="BC59" s="25">
        <f>IF(Table1[[#This Row],[Adjusted_ULife_HP]]=7,VLOOKUP(Table1[[#This Row],[Item_Handpump]],[1]!Table2[#All],10,FALSE),0)</f>
        <v>0</v>
      </c>
      <c r="BD59" s="25">
        <f>IF(Table1[[#This Row],[Adjusted_ULife_PF]]=7,VLOOKUP(Table1[[#This Row],[Item_Platform]],[1]!Table2[#All],10,FALSE),0)</f>
        <v>0</v>
      </c>
      <c r="BE59" s="25">
        <f>SUM(Table1[[#This Row],[yr 7_wl]:[yr 7_pf]])</f>
        <v>0</v>
      </c>
      <c r="BF59" s="25">
        <f>IF(Table1[[#This Row],[Years_Next_Rehab_Well]]=8,VLOOKUP(Table1[[#This Row],[Item_Rehab_WL]],[1]!Table2[#All],11,FALSE),0)</f>
        <v>0</v>
      </c>
      <c r="BG59" s="25">
        <f>IF(Table1[[#This Row],[Adjusted_ULife_HP]]=8,VLOOKUP(Table1[[#This Row],[Item_Handpump]],[1]!Table2[#All],11,FALSE),0)</f>
        <v>0</v>
      </c>
      <c r="BH59" s="25">
        <f>IF(Table1[[#This Row],[Adjusted_ULife_PF]]=8,VLOOKUP(Table1[[#This Row],[Item_Platform]],[1]!Table2[#All],11,FALSE),0)</f>
        <v>0</v>
      </c>
      <c r="BI59" s="25">
        <f>SUM(Table1[[#This Row],[yr 8_wl]:[yr 8_pf]])</f>
        <v>0</v>
      </c>
      <c r="BJ59" s="25">
        <f>IF(Table1[[#This Row],[Years_Next_Rehab_Well]]=9,VLOOKUP(Table1[[#This Row],[Item_Rehab_WL]],[1]!Table2[#All],12,FALSE),0)</f>
        <v>0</v>
      </c>
      <c r="BK59" s="25">
        <f>IF(Table1[[#This Row],[Adjusted_ULife_HP]]=9,VLOOKUP(Table1[[#This Row],[Item_Handpump]],[1]!Table2[#All],12,FALSE),0)</f>
        <v>0</v>
      </c>
      <c r="BL59" s="25">
        <f>IF(Table1[[#This Row],[Adjusted_ULife_PF]]=9,VLOOKUP(Table1[[#This Row],[Item_Platform]],[1]!Table2[#All],12,FALSE),0)</f>
        <v>0</v>
      </c>
      <c r="BM59" s="25">
        <f>SUM(Table1[[#This Row],[yr 9_wl]:[yr 9_pf]])</f>
        <v>0</v>
      </c>
      <c r="BN59" s="25">
        <f>IF(Table1[[#This Row],[Years_Next_Rehab_Well]]=10,VLOOKUP(Table1[[#This Row],[Item_Rehab_WL]],[1]!Table2[#All],13,FALSE),0)</f>
        <v>0</v>
      </c>
      <c r="BO59" s="25">
        <f>IF(Table1[[#This Row],[Adjusted_ULife_HP]]=10,VLOOKUP(Table1[[#This Row],[Item_Handpump]],[1]!Table2[#All],13,FALSE),0)</f>
        <v>0</v>
      </c>
      <c r="BP59" s="25">
        <f>IF(Table1[[#This Row],[Adjusted_ULife_PF]]=10,VLOOKUP(Table1[[#This Row],[Item_Platform]],[1]!Table2[#All],13,FALSE),0)</f>
        <v>0</v>
      </c>
      <c r="BQ59" s="25">
        <f>SUM(Table1[[#This Row],[yr 10_wl]:[yr 10_pf]])</f>
        <v>0</v>
      </c>
      <c r="BR59" s="25">
        <f>IF(Table1[[#This Row],[Years_Next_Rehab_Well]]=11,VLOOKUP(Table1[[#This Row],[Item_Rehab_WL]],[1]!Table2[#All],14,FALSE),0)</f>
        <v>12754.683308933567</v>
      </c>
      <c r="BS59" s="25">
        <f>IF(Table1[[#This Row],[Adjusted_ULife_HP]]=11,VLOOKUP(Table1[[#This Row],[Item_Handpump]],[1]!Table2[#All],14,FALSE),0)</f>
        <v>0</v>
      </c>
      <c r="BT59" s="25">
        <f>IF(Table1[[#This Row],[Adjusted_ULife_PF]]=11,VLOOKUP(Table1[[#This Row],[Item_Platform]],[1]!Table2[#All],14,FALSE),0)</f>
        <v>0</v>
      </c>
      <c r="BU59" s="25">
        <f>SUM(Table1[[#This Row],[yr 11_wl]:[yr 11_pf]])</f>
        <v>12754.683308933567</v>
      </c>
      <c r="BV59" s="25">
        <f>IF(Table1[[#This Row],[Years_Next_Rehab_Well]]=12,VLOOKUP(Table1[[#This Row],[Item_Rehab_WL]],[1]!Table2[#All],15,FALSE),0)</f>
        <v>0</v>
      </c>
      <c r="BW59" s="25">
        <f>IF(Table1[[#This Row],[Adjusted_ULife_HP]]=12,VLOOKUP(Table1[[#This Row],[Item_Handpump]],[1]!Table2[#All],15,FALSE),0)</f>
        <v>0</v>
      </c>
      <c r="BX59" s="25">
        <f>IF(Table1[[#This Row],[Adjusted_ULife_PF]]=12,VLOOKUP(Table1[[#This Row],[Item_Platform]],[1]!Table2[#All],15,FALSE),0)</f>
        <v>0</v>
      </c>
      <c r="BY59" s="25">
        <f>SUM(Table1[[#This Row],[yr 12_wl]:[yr 12_pf]])</f>
        <v>0</v>
      </c>
      <c r="BZ59" s="25">
        <f>IF(Table1[[#This Row],[Years_Next_Rehab_Well]]=13,VLOOKUP(Table1[[#This Row],[Item_Rehab_WL]],[1]!Table2[#All],16,FALSE),0)</f>
        <v>0</v>
      </c>
      <c r="CA59" s="25">
        <f>IF(Table1[[#This Row],[Adjusted_ULife_HP]]=13,VLOOKUP(Table1[[#This Row],[Item_Handpump]],[1]!Table2[#All],16,FALSE),0)</f>
        <v>0</v>
      </c>
      <c r="CB59" s="25">
        <f>IF(Table1[[#This Row],[Adjusted_ULife_PF]]=13,VLOOKUP(Table1[[#This Row],[Item_Platform]],[1]!Table2[#All],16,FALSE),0)</f>
        <v>0</v>
      </c>
      <c r="CC59" s="25">
        <f>SUM(Table1[[#This Row],[yr 13_wl]:[yr 13_pf]])</f>
        <v>0</v>
      </c>
      <c r="CD59" s="12"/>
    </row>
    <row r="60" spans="1:82" s="11" customFormat="1" x14ac:dyDescent="0.25">
      <c r="A60" s="11" t="str">
        <f>IF([1]Input_monitoring_data!A56="","",[1]Input_monitoring_data!A56)</f>
        <v>9504-gfw4-68cg</v>
      </c>
      <c r="B60" s="22" t="str">
        <f>[1]Input_monitoring_data!BH56</f>
        <v>Ntotroso</v>
      </c>
      <c r="C60" s="22" t="str">
        <f>[1]Input_monitoring_data!BI56</f>
        <v>Ntotroso</v>
      </c>
      <c r="D60" s="22" t="str">
        <f>[1]Input_monitoring_data!P56</f>
        <v>7.063599080917395</v>
      </c>
      <c r="E60" s="22" t="str">
        <f>[1]Input_monitoring_data!Q56</f>
        <v>-2.3155138257482157</v>
      </c>
      <c r="F60" s="22" t="str">
        <f>[1]Input_monitoring_data!V56</f>
        <v>New Apostolic Church Premises</v>
      </c>
      <c r="G60" s="23" t="str">
        <f>[1]Input_monitoring_data!U56</f>
        <v>Hand dug well</v>
      </c>
      <c r="H60" s="22">
        <f>[1]Input_monitoring_data!X56</f>
        <v>2007</v>
      </c>
      <c r="I60" s="21" t="str">
        <f>[1]Input_monitoring_data!AB56</f>
        <v>Borehole redevelopment</v>
      </c>
      <c r="J60" s="21">
        <f>[1]Input_monitoring_data!AC56</f>
        <v>0</v>
      </c>
      <c r="K60" s="23" t="str">
        <f>[1]Input_monitoring_data!W56</f>
        <v>Nira AF-85</v>
      </c>
      <c r="L60" s="22">
        <f>[1]Input_monitoring_data!X56</f>
        <v>2007</v>
      </c>
      <c r="M60" s="21" t="str">
        <f>IF([1]Input_monitoring_data!BL56&gt;'Point Sources_Asset_Register_'!L60,[1]Input_monitoring_data!BL56,"")</f>
        <v/>
      </c>
      <c r="N60" s="22" t="str">
        <f>[1]Input_monitoring_data!BQ56</f>
        <v>not functional</v>
      </c>
      <c r="O60" s="22">
        <f>[1]Input_monitoring_data!AJ56</f>
        <v>0</v>
      </c>
      <c r="P60" s="23" t="s">
        <v>0</v>
      </c>
      <c r="Q60" s="22">
        <f>L60</f>
        <v>2007</v>
      </c>
      <c r="R60" s="21" t="str">
        <f>M60</f>
        <v/>
      </c>
      <c r="S60" s="20">
        <f>[1]Input_EUL_CRC_ERC!$B$17-Table1[[#This Row],[Year Installed_WL]]</f>
        <v>10</v>
      </c>
      <c r="T60" s="20">
        <f>[1]Input_EUL_CRC_ERC!$B$17-(IF(Table1[[#This Row],[Year Last_Rehab_WL ]]=0,Table1[[#This Row],[Year Installed_WL]],[1]Input_EUL_CRC_ERC!$B$17-Table1[[#This Row],[Year Last_Rehab_WL ]]))</f>
        <v>10</v>
      </c>
      <c r="U60" s="20">
        <f>(VLOOKUP(Table1[[#This Row],[Item_Rehab_WL]],[1]Input_EUL_CRC_ERC!$C$17:$E$27,2,FALSE)-Table1[[#This Row],[Last Rehab Age]])</f>
        <v>5</v>
      </c>
      <c r="V60" s="19">
        <f>[1]Input_EUL_CRC_ERC!$B$17-Table1[[#This Row],[Year Installed_HP]]</f>
        <v>10</v>
      </c>
      <c r="W60" s="19">
        <f>(VLOOKUP(Table1[[#This Row],[Item_Handpump]],[1]!Table2[#All],2,FALSE))-(IF(Table1[[#This Row],[Year Last_Rehab_HP]]="",Table1[[#This Row],[Current Age_Handpump]],[1]Input_EUL_CRC_ERC!$B$17-Table1[[#This Row],[Year Last_Rehab_HP]]))</f>
        <v>10</v>
      </c>
      <c r="X60" s="19">
        <f>[1]Input_EUL_CRC_ERC!$B$17-Table1[[#This Row],[Year Installed_PF]]</f>
        <v>10</v>
      </c>
      <c r="Y60" s="19">
        <f>(VLOOKUP(Table1[[#This Row],[Item_Platform]],[1]!Table2[#All],2,FALSE))-(IF(Table1[[#This Row],[Year Last_Rehab_PF]]="",Table1[[#This Row],[Current Age_Platform]],[1]Input_EUL_CRC_ERC!$B$17-Table1[[#This Row],[Year Last_Rehab_PF]]))</f>
        <v>0</v>
      </c>
      <c r="Z60" s="25">
        <f>IF(Table1[[#This Row],[Years_Next_Rehab_Well]]&lt;=0,VLOOKUP(Table1[[#This Row],[Item_Rehab_WL]],[1]!Table2[#All],3,FALSE),0)</f>
        <v>0</v>
      </c>
      <c r="AA60" s="18">
        <f>IF(Table1[[#This Row],[Adjusted_ULife_HP]]&lt;=0,VLOOKUP(Table1[[#This Row],[Item_Handpump]],[1]!Table2[#All],3,FALSE),0)</f>
        <v>0</v>
      </c>
      <c r="AB60" s="18">
        <f>IF(Table1[[#This Row],[Adjusted_ULife_PF]]&lt;=0,VLOOKUP(Table1[[#This Row],[Item_Platform]],[1]!Table2[#All],3,FALSE),0)</f>
        <v>1500</v>
      </c>
      <c r="AC60" s="18">
        <f>SUM(Table1[[#This Row],[current yr_wl]:[current yr_pf]])</f>
        <v>1500</v>
      </c>
      <c r="AD60" s="25">
        <f>IF(Table1[[#This Row],[Years_Next_Rehab_Well]]=1,VLOOKUP(Table1[[#This Row],[Item_Rehab_WL]],[1]!Table2[#All],4,FALSE),0)</f>
        <v>0</v>
      </c>
      <c r="AE60" s="25">
        <f>IF(Table1[[#This Row],[Adjusted_ULife_HP]]=1,VLOOKUP(Table1[[#This Row],[Item_Handpump]],[1]!Table2[#All],4,FALSE),0)</f>
        <v>0</v>
      </c>
      <c r="AF60" s="25">
        <f>IF(Table1[[#This Row],[Adjusted_ULife_PF]]=1,VLOOKUP(Table1[[#This Row],[Item_Platform]],[1]!Table2[#All],4,FALSE),0)</f>
        <v>0</v>
      </c>
      <c r="AG60" s="25">
        <f>SUM(Table1[[#This Row],[yr 1_wl]:[yr 1_pf]])</f>
        <v>0</v>
      </c>
      <c r="AH60" s="25">
        <f>IF(Table1[[#This Row],[Years_Next_Rehab_Well]]=2,VLOOKUP(Table1[[#This Row],[Item_Rehab_WL]],[1]!Table2[#All],5,FALSE),0)</f>
        <v>0</v>
      </c>
      <c r="AI60" s="25">
        <f>IF(Table1[[#This Row],[Adjusted_ULife_HP]]=2,VLOOKUP(Table1[[#This Row],[Item_Handpump]],[1]!Table2[#All],5,FALSE),0)</f>
        <v>0</v>
      </c>
      <c r="AJ60" s="25">
        <f>IF(Table1[[#This Row],[Adjusted_ULife_PF]]=2,VLOOKUP(Table1[[#This Row],[Item_Platform]],[1]!Table2[#All],5,FALSE),0)</f>
        <v>0</v>
      </c>
      <c r="AK60" s="25">
        <f>SUM(Table1[[#This Row],[yr 2_wl]:[yr 2_pf]])</f>
        <v>0</v>
      </c>
      <c r="AL60" s="25">
        <f>IF(Table1[[#This Row],[Years_Next_Rehab_Well]]=3,VLOOKUP(Table1[[#This Row],[Item_Rehab_WL]],[1]!Table2[#All],6,FALSE),0)</f>
        <v>0</v>
      </c>
      <c r="AM60" s="25">
        <f>IF(Table1[[#This Row],[Adjusted_ULife_HP]]=3,VLOOKUP(Table1[[#This Row],[Item_Handpump]],[1]!Table2[#All],6,FALSE),0)</f>
        <v>0</v>
      </c>
      <c r="AN60" s="25">
        <f>IF(Table1[[#This Row],[Adjusted_ULife_PF]]=3,VLOOKUP(Table1[[#This Row],[Item_Platform]],[1]!Table2[#All],6,FALSE),0)</f>
        <v>0</v>
      </c>
      <c r="AO60" s="25">
        <f>SUM(Table1[[#This Row],[yr 3_wl]:[yr 3_pf]])</f>
        <v>0</v>
      </c>
      <c r="AP60" s="25">
        <f>IF(Table1[[#This Row],[Years_Next_Rehab_Well]]=4,VLOOKUP(Table1[[#This Row],[Item_Rehab_WL]],[1]!Table2[#All],7,FALSE),0)</f>
        <v>0</v>
      </c>
      <c r="AQ60" s="25">
        <f>IF(Table1[[#This Row],[Adjusted_ULife_HP]]=4,VLOOKUP(Table1[[#This Row],[Item_Handpump]],[1]!Table2[#All],7,FALSE),0)</f>
        <v>0</v>
      </c>
      <c r="AR60" s="25">
        <f>IF(Table1[[#This Row],[Adjusted_ULife_PF]]=4,VLOOKUP(Table1[[#This Row],[Item_Platform]],[1]!Table2[#All],7,FALSE),0)</f>
        <v>0</v>
      </c>
      <c r="AS60" s="25">
        <f>SUM(Table1[[#This Row],[yr 4_wl]:[yr 4_pf]])</f>
        <v>0</v>
      </c>
      <c r="AT60" s="25">
        <f>IF(Table1[[#This Row],[Years_Next_Rehab_Well]]=5,VLOOKUP(Table1[[#This Row],[Item_Rehab_WL]],[1]!Table2[#All],8,FALSE),0)</f>
        <v>6461.9195050666694</v>
      </c>
      <c r="AU60" s="25">
        <f>IF(Table1[[#This Row],[Adjusted_ULife_HP]]=5,VLOOKUP(Table1[[#This Row],[Item_Handpump]],[1]!Table2[#All],8,FALSE),0)</f>
        <v>0</v>
      </c>
      <c r="AV60" s="25">
        <f>IF(Table1[[#This Row],[Adjusted_ULife_PF]]=5,VLOOKUP(Table1[[#This Row],[Item_Platform]],[1]!Table2[#All],8,FALSE),0)</f>
        <v>0</v>
      </c>
      <c r="AW60" s="25">
        <f>SUM(Table1[[#This Row],[yr 5_wl]:[yr 5_pf]])</f>
        <v>6461.9195050666694</v>
      </c>
      <c r="AX60" s="25">
        <f>IF(Table1[[#This Row],[Years_Next_Rehab_Well]]=6,VLOOKUP(Table1[[#This Row],[Item_Rehab_WL]],[1]!Table2[#All],9,FALSE),0)</f>
        <v>0</v>
      </c>
      <c r="AY60" s="25">
        <f>IF(Table1[[#This Row],[Adjusted_ULife_HP]]=6,VLOOKUP(Table1[[#This Row],[Item_Handpump]],[1]!Table2[#All],9,FALSE),0)</f>
        <v>0</v>
      </c>
      <c r="AZ60" s="25">
        <f>IF(Table1[[#This Row],[Adjusted_ULife_PF]]=6,VLOOKUP(Table1[[#This Row],[Item_Platform]],[1]!Table2[#All],9,FALSE),0)</f>
        <v>0</v>
      </c>
      <c r="BA60" s="25">
        <f>SUM(Table1[[#This Row],[yr 6_wl]:[yr 6_pf]])</f>
        <v>0</v>
      </c>
      <c r="BB60" s="25">
        <f>IF(Table1[[#This Row],[Years_Next_Rehab_Well]]=7,VLOOKUP(Table1[[#This Row],[Item_Rehab_WL]],[1]!Table2[#All],10,FALSE),0)</f>
        <v>0</v>
      </c>
      <c r="BC60" s="25">
        <f>IF(Table1[[#This Row],[Adjusted_ULife_HP]]=7,VLOOKUP(Table1[[#This Row],[Item_Handpump]],[1]!Table2[#All],10,FALSE),0)</f>
        <v>0</v>
      </c>
      <c r="BD60" s="25">
        <f>IF(Table1[[#This Row],[Adjusted_ULife_PF]]=7,VLOOKUP(Table1[[#This Row],[Item_Platform]],[1]!Table2[#All],10,FALSE),0)</f>
        <v>0</v>
      </c>
      <c r="BE60" s="25">
        <f>SUM(Table1[[#This Row],[yr 7_wl]:[yr 7_pf]])</f>
        <v>0</v>
      </c>
      <c r="BF60" s="25">
        <f>IF(Table1[[#This Row],[Years_Next_Rehab_Well]]=8,VLOOKUP(Table1[[#This Row],[Item_Rehab_WL]],[1]!Table2[#All],11,FALSE),0)</f>
        <v>0</v>
      </c>
      <c r="BG60" s="25">
        <f>IF(Table1[[#This Row],[Adjusted_ULife_HP]]=8,VLOOKUP(Table1[[#This Row],[Item_Handpump]],[1]!Table2[#All],11,FALSE),0)</f>
        <v>0</v>
      </c>
      <c r="BH60" s="25">
        <f>IF(Table1[[#This Row],[Adjusted_ULife_PF]]=8,VLOOKUP(Table1[[#This Row],[Item_Platform]],[1]!Table2[#All],11,FALSE),0)</f>
        <v>0</v>
      </c>
      <c r="BI60" s="25">
        <f>SUM(Table1[[#This Row],[yr 8_wl]:[yr 8_pf]])</f>
        <v>0</v>
      </c>
      <c r="BJ60" s="25">
        <f>IF(Table1[[#This Row],[Years_Next_Rehab_Well]]=9,VLOOKUP(Table1[[#This Row],[Item_Rehab_WL]],[1]!Table2[#All],12,FALSE),0)</f>
        <v>0</v>
      </c>
      <c r="BK60" s="25">
        <f>IF(Table1[[#This Row],[Adjusted_ULife_HP]]=9,VLOOKUP(Table1[[#This Row],[Item_Handpump]],[1]!Table2[#All],12,FALSE),0)</f>
        <v>0</v>
      </c>
      <c r="BL60" s="25">
        <f>IF(Table1[[#This Row],[Adjusted_ULife_PF]]=9,VLOOKUP(Table1[[#This Row],[Item_Platform]],[1]!Table2[#All],12,FALSE),0)</f>
        <v>0</v>
      </c>
      <c r="BM60" s="25">
        <f>SUM(Table1[[#This Row],[yr 9_wl]:[yr 9_pf]])</f>
        <v>0</v>
      </c>
      <c r="BN60" s="25">
        <f>IF(Table1[[#This Row],[Years_Next_Rehab_Well]]=10,VLOOKUP(Table1[[#This Row],[Item_Rehab_WL]],[1]!Table2[#All],13,FALSE),0)</f>
        <v>0</v>
      </c>
      <c r="BO60" s="25">
        <f>IF(Table1[[#This Row],[Adjusted_ULife_HP]]=10,VLOOKUP(Table1[[#This Row],[Item_Handpump]],[1]!Table2[#All],13,FALSE),0)</f>
        <v>1242.3392833376847</v>
      </c>
      <c r="BP60" s="25">
        <f>IF(Table1[[#This Row],[Adjusted_ULife_PF]]=10,VLOOKUP(Table1[[#This Row],[Item_Platform]],[1]!Table2[#All],13,FALSE),0)</f>
        <v>0</v>
      </c>
      <c r="BQ60" s="25">
        <f>SUM(Table1[[#This Row],[yr 10_wl]:[yr 10_pf]])</f>
        <v>1242.3392833376847</v>
      </c>
      <c r="BR60" s="25">
        <f>IF(Table1[[#This Row],[Years_Next_Rehab_Well]]=11,VLOOKUP(Table1[[#This Row],[Item_Rehab_WL]],[1]!Table2[#All],14,FALSE),0)</f>
        <v>0</v>
      </c>
      <c r="BS60" s="25">
        <f>IF(Table1[[#This Row],[Adjusted_ULife_HP]]=11,VLOOKUP(Table1[[#This Row],[Item_Handpump]],[1]!Table2[#All],14,FALSE),0)</f>
        <v>0</v>
      </c>
      <c r="BT60" s="25">
        <f>IF(Table1[[#This Row],[Adjusted_ULife_PF]]=11,VLOOKUP(Table1[[#This Row],[Item_Platform]],[1]!Table2[#All],14,FALSE),0)</f>
        <v>0</v>
      </c>
      <c r="BU60" s="25">
        <f>SUM(Table1[[#This Row],[yr 11_wl]:[yr 11_pf]])</f>
        <v>0</v>
      </c>
      <c r="BV60" s="25">
        <f>IF(Table1[[#This Row],[Years_Next_Rehab_Well]]=12,VLOOKUP(Table1[[#This Row],[Item_Rehab_WL]],[1]!Table2[#All],15,FALSE),0)</f>
        <v>0</v>
      </c>
      <c r="BW60" s="25">
        <f>IF(Table1[[#This Row],[Adjusted_ULife_HP]]=12,VLOOKUP(Table1[[#This Row],[Item_Handpump]],[1]!Table2[#All],15,FALSE),0)</f>
        <v>0</v>
      </c>
      <c r="BX60" s="25">
        <f>IF(Table1[[#This Row],[Adjusted_ULife_PF]]=12,VLOOKUP(Table1[[#This Row],[Item_Platform]],[1]!Table2[#All],15,FALSE),0)</f>
        <v>0</v>
      </c>
      <c r="BY60" s="25">
        <f>SUM(Table1[[#This Row],[yr 12_wl]:[yr 12_pf]])</f>
        <v>0</v>
      </c>
      <c r="BZ60" s="25">
        <f>IF(Table1[[#This Row],[Years_Next_Rehab_Well]]=13,VLOOKUP(Table1[[#This Row],[Item_Rehab_WL]],[1]!Table2[#All],16,FALSE),0)</f>
        <v>0</v>
      </c>
      <c r="CA60" s="25">
        <f>IF(Table1[[#This Row],[Adjusted_ULife_HP]]=13,VLOOKUP(Table1[[#This Row],[Item_Handpump]],[1]!Table2[#All],16,FALSE),0)</f>
        <v>0</v>
      </c>
      <c r="CB60" s="25">
        <f>IF(Table1[[#This Row],[Adjusted_ULife_PF]]=13,VLOOKUP(Table1[[#This Row],[Item_Platform]],[1]!Table2[#All],16,FALSE),0)</f>
        <v>0</v>
      </c>
      <c r="CC60" s="25">
        <f>SUM(Table1[[#This Row],[yr 13_wl]:[yr 13_pf]])</f>
        <v>0</v>
      </c>
      <c r="CD60" s="12"/>
    </row>
    <row r="61" spans="1:82" s="11" customFormat="1" x14ac:dyDescent="0.25">
      <c r="A61" s="11" t="str">
        <f>IF([1]Input_monitoring_data!A57="","",[1]Input_monitoring_data!A57)</f>
        <v>96hd-p7bf-xyjk</v>
      </c>
      <c r="B61" s="22" t="str">
        <f>[1]Input_monitoring_data!BH57</f>
        <v>KENYASI NO.1</v>
      </c>
      <c r="C61" s="22" t="str">
        <f>[1]Input_monitoring_data!BI57</f>
        <v>KENYASI NO.1</v>
      </c>
      <c r="D61" s="22" t="str">
        <f>[1]Input_monitoring_data!P57</f>
        <v>6.969751666666667</v>
      </c>
      <c r="E61" s="22" t="str">
        <f>[1]Input_monitoring_data!Q57</f>
        <v>-2.37343</v>
      </c>
      <c r="F61" s="22" t="str">
        <f>[1]Input_monitoring_data!V57</f>
        <v>new resettlement</v>
      </c>
      <c r="G61" s="23" t="str">
        <f>[1]Input_monitoring_data!U57</f>
        <v>Borehole</v>
      </c>
      <c r="H61" s="22">
        <f>[1]Input_monitoring_data!X57</f>
        <v>2017</v>
      </c>
      <c r="I61" s="21" t="str">
        <f>[1]Input_monitoring_data!AB57</f>
        <v>Borehole redevelopment</v>
      </c>
      <c r="J61" s="21">
        <f>[1]Input_monitoring_data!AC57</f>
        <v>0</v>
      </c>
      <c r="K61" s="23" t="str">
        <f>[1]Input_monitoring_data!W57</f>
        <v>AfriDev</v>
      </c>
      <c r="L61" s="22">
        <f>[1]Input_monitoring_data!X57</f>
        <v>2017</v>
      </c>
      <c r="M61" s="21" t="str">
        <f>IF([1]Input_monitoring_data!BL57&gt;'Point Sources_Asset_Register_'!L61,[1]Input_monitoring_data!BL57,"")</f>
        <v/>
      </c>
      <c r="N61" s="22" t="str">
        <f>[1]Input_monitoring_data!BQ57</f>
        <v>functional</v>
      </c>
      <c r="O61" s="22">
        <f>[1]Input_monitoring_data!AJ57</f>
        <v>0</v>
      </c>
      <c r="P61" s="23" t="s">
        <v>0</v>
      </c>
      <c r="Q61" s="22">
        <f>L61</f>
        <v>2017</v>
      </c>
      <c r="R61" s="21" t="str">
        <f>M61</f>
        <v/>
      </c>
      <c r="S61" s="20">
        <f>[1]Input_EUL_CRC_ERC!$B$17-Table1[[#This Row],[Year Installed_WL]]</f>
        <v>0</v>
      </c>
      <c r="T61" s="20">
        <f>[1]Input_EUL_CRC_ERC!$B$17-(IF(Table1[[#This Row],[Year Last_Rehab_WL ]]=0,Table1[[#This Row],[Year Installed_WL]],[1]Input_EUL_CRC_ERC!$B$17-Table1[[#This Row],[Year Last_Rehab_WL ]]))</f>
        <v>0</v>
      </c>
      <c r="U61" s="20">
        <f>(VLOOKUP(Table1[[#This Row],[Item_Rehab_WL]],[1]Input_EUL_CRC_ERC!$C$17:$E$27,2,FALSE)-Table1[[#This Row],[Last Rehab Age]])</f>
        <v>15</v>
      </c>
      <c r="V61" s="19">
        <f>[1]Input_EUL_CRC_ERC!$B$17-Table1[[#This Row],[Year Installed_HP]]</f>
        <v>0</v>
      </c>
      <c r="W61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61" s="19">
        <f>[1]Input_EUL_CRC_ERC!$B$17-Table1[[#This Row],[Year Installed_PF]]</f>
        <v>0</v>
      </c>
      <c r="Y61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61" s="25">
        <f>IF(Table1[[#This Row],[Years_Next_Rehab_Well]]&lt;=0,VLOOKUP(Table1[[#This Row],[Item_Rehab_WL]],[1]!Table2[#All],3,FALSE),0)</f>
        <v>0</v>
      </c>
      <c r="AA61" s="18">
        <f>IF(Table1[[#This Row],[Adjusted_ULife_HP]]&lt;=0,VLOOKUP(Table1[[#This Row],[Item_Handpump]],[1]!Table2[#All],3,FALSE),0)</f>
        <v>0</v>
      </c>
      <c r="AB61" s="18">
        <f>IF(Table1[[#This Row],[Adjusted_ULife_PF]]&lt;=0,VLOOKUP(Table1[[#This Row],[Item_Platform]],[1]!Table2[#All],3,FALSE),0)</f>
        <v>0</v>
      </c>
      <c r="AC61" s="18">
        <f>SUM(Table1[[#This Row],[current yr_wl]:[current yr_pf]])</f>
        <v>0</v>
      </c>
      <c r="AD61" s="25">
        <f>IF(Table1[[#This Row],[Years_Next_Rehab_Well]]=1,VLOOKUP(Table1[[#This Row],[Item_Rehab_WL]],[1]!Table2[#All],4,FALSE),0)</f>
        <v>0</v>
      </c>
      <c r="AE61" s="25">
        <f>IF(Table1[[#This Row],[Adjusted_ULife_HP]]=1,VLOOKUP(Table1[[#This Row],[Item_Handpump]],[1]!Table2[#All],4,FALSE),0)</f>
        <v>0</v>
      </c>
      <c r="AF61" s="25">
        <f>IF(Table1[[#This Row],[Adjusted_ULife_PF]]=1,VLOOKUP(Table1[[#This Row],[Item_Platform]],[1]!Table2[#All],4,FALSE),0)</f>
        <v>0</v>
      </c>
      <c r="AG61" s="25">
        <f>SUM(Table1[[#This Row],[yr 1_wl]:[yr 1_pf]])</f>
        <v>0</v>
      </c>
      <c r="AH61" s="25">
        <f>IF(Table1[[#This Row],[Years_Next_Rehab_Well]]=2,VLOOKUP(Table1[[#This Row],[Item_Rehab_WL]],[1]!Table2[#All],5,FALSE),0)</f>
        <v>0</v>
      </c>
      <c r="AI61" s="25">
        <f>IF(Table1[[#This Row],[Adjusted_ULife_HP]]=2,VLOOKUP(Table1[[#This Row],[Item_Handpump]],[1]!Table2[#All],5,FALSE),0)</f>
        <v>0</v>
      </c>
      <c r="AJ61" s="25">
        <f>IF(Table1[[#This Row],[Adjusted_ULife_PF]]=2,VLOOKUP(Table1[[#This Row],[Item_Platform]],[1]!Table2[#All],5,FALSE),0)</f>
        <v>0</v>
      </c>
      <c r="AK61" s="25">
        <f>SUM(Table1[[#This Row],[yr 2_wl]:[yr 2_pf]])</f>
        <v>0</v>
      </c>
      <c r="AL61" s="25">
        <f>IF(Table1[[#This Row],[Years_Next_Rehab_Well]]=3,VLOOKUP(Table1[[#This Row],[Item_Rehab_WL]],[1]!Table2[#All],6,FALSE),0)</f>
        <v>0</v>
      </c>
      <c r="AM61" s="25">
        <f>IF(Table1[[#This Row],[Adjusted_ULife_HP]]=3,VLOOKUP(Table1[[#This Row],[Item_Handpump]],[1]!Table2[#All],6,FALSE),0)</f>
        <v>0</v>
      </c>
      <c r="AN61" s="25">
        <f>IF(Table1[[#This Row],[Adjusted_ULife_PF]]=3,VLOOKUP(Table1[[#This Row],[Item_Platform]],[1]!Table2[#All],6,FALSE),0)</f>
        <v>0</v>
      </c>
      <c r="AO61" s="25">
        <f>SUM(Table1[[#This Row],[yr 3_wl]:[yr 3_pf]])</f>
        <v>0</v>
      </c>
      <c r="AP61" s="25">
        <f>IF(Table1[[#This Row],[Years_Next_Rehab_Well]]=4,VLOOKUP(Table1[[#This Row],[Item_Rehab_WL]],[1]!Table2[#All],7,FALSE),0)</f>
        <v>0</v>
      </c>
      <c r="AQ61" s="25">
        <f>IF(Table1[[#This Row],[Adjusted_ULife_HP]]=4,VLOOKUP(Table1[[#This Row],[Item_Handpump]],[1]!Table2[#All],7,FALSE),0)</f>
        <v>0</v>
      </c>
      <c r="AR61" s="25">
        <f>IF(Table1[[#This Row],[Adjusted_ULife_PF]]=4,VLOOKUP(Table1[[#This Row],[Item_Platform]],[1]!Table2[#All],7,FALSE),0)</f>
        <v>0</v>
      </c>
      <c r="AS61" s="25">
        <f>SUM(Table1[[#This Row],[yr 4_wl]:[yr 4_pf]])</f>
        <v>0</v>
      </c>
      <c r="AT61" s="25">
        <f>IF(Table1[[#This Row],[Years_Next_Rehab_Well]]=5,VLOOKUP(Table1[[#This Row],[Item_Rehab_WL]],[1]!Table2[#All],8,FALSE),0)</f>
        <v>0</v>
      </c>
      <c r="AU61" s="25">
        <f>IF(Table1[[#This Row],[Adjusted_ULife_HP]]=5,VLOOKUP(Table1[[#This Row],[Item_Handpump]],[1]!Table2[#All],8,FALSE),0)</f>
        <v>0</v>
      </c>
      <c r="AV61" s="25">
        <f>IF(Table1[[#This Row],[Adjusted_ULife_PF]]=5,VLOOKUP(Table1[[#This Row],[Item_Platform]],[1]!Table2[#All],8,FALSE),0)</f>
        <v>0</v>
      </c>
      <c r="AW61" s="25">
        <f>SUM(Table1[[#This Row],[yr 5_wl]:[yr 5_pf]])</f>
        <v>0</v>
      </c>
      <c r="AX61" s="25">
        <f>IF(Table1[[#This Row],[Years_Next_Rehab_Well]]=6,VLOOKUP(Table1[[#This Row],[Item_Rehab_WL]],[1]!Table2[#All],9,FALSE),0)</f>
        <v>0</v>
      </c>
      <c r="AY61" s="25">
        <f>IF(Table1[[#This Row],[Adjusted_ULife_HP]]=6,VLOOKUP(Table1[[#This Row],[Item_Handpump]],[1]!Table2[#All],9,FALSE),0)</f>
        <v>0</v>
      </c>
      <c r="AZ61" s="25">
        <f>IF(Table1[[#This Row],[Adjusted_ULife_PF]]=6,VLOOKUP(Table1[[#This Row],[Item_Platform]],[1]!Table2[#All],9,FALSE),0)</f>
        <v>0</v>
      </c>
      <c r="BA61" s="25">
        <f>SUM(Table1[[#This Row],[yr 6_wl]:[yr 6_pf]])</f>
        <v>0</v>
      </c>
      <c r="BB61" s="25">
        <f>IF(Table1[[#This Row],[Years_Next_Rehab_Well]]=7,VLOOKUP(Table1[[#This Row],[Item_Rehab_WL]],[1]!Table2[#All],10,FALSE),0)</f>
        <v>0</v>
      </c>
      <c r="BC61" s="25">
        <f>IF(Table1[[#This Row],[Adjusted_ULife_HP]]=7,VLOOKUP(Table1[[#This Row],[Item_Handpump]],[1]!Table2[#All],10,FALSE),0)</f>
        <v>0</v>
      </c>
      <c r="BD61" s="25">
        <f>IF(Table1[[#This Row],[Adjusted_ULife_PF]]=7,VLOOKUP(Table1[[#This Row],[Item_Platform]],[1]!Table2[#All],10,FALSE),0)</f>
        <v>0</v>
      </c>
      <c r="BE61" s="25">
        <f>SUM(Table1[[#This Row],[yr 7_wl]:[yr 7_pf]])</f>
        <v>0</v>
      </c>
      <c r="BF61" s="25">
        <f>IF(Table1[[#This Row],[Years_Next_Rehab_Well]]=8,VLOOKUP(Table1[[#This Row],[Item_Rehab_WL]],[1]!Table2[#All],11,FALSE),0)</f>
        <v>0</v>
      </c>
      <c r="BG61" s="25">
        <f>IF(Table1[[#This Row],[Adjusted_ULife_HP]]=8,VLOOKUP(Table1[[#This Row],[Item_Handpump]],[1]!Table2[#All],11,FALSE),0)</f>
        <v>0</v>
      </c>
      <c r="BH61" s="25">
        <f>IF(Table1[[#This Row],[Adjusted_ULife_PF]]=8,VLOOKUP(Table1[[#This Row],[Item_Platform]],[1]!Table2[#All],11,FALSE),0)</f>
        <v>0</v>
      </c>
      <c r="BI61" s="25">
        <f>SUM(Table1[[#This Row],[yr 8_wl]:[yr 8_pf]])</f>
        <v>0</v>
      </c>
      <c r="BJ61" s="25">
        <f>IF(Table1[[#This Row],[Years_Next_Rehab_Well]]=9,VLOOKUP(Table1[[#This Row],[Item_Rehab_WL]],[1]!Table2[#All],12,FALSE),0)</f>
        <v>0</v>
      </c>
      <c r="BK61" s="25">
        <f>IF(Table1[[#This Row],[Adjusted_ULife_HP]]=9,VLOOKUP(Table1[[#This Row],[Item_Handpump]],[1]!Table2[#All],12,FALSE),0)</f>
        <v>0</v>
      </c>
      <c r="BL61" s="25">
        <f>IF(Table1[[#This Row],[Adjusted_ULife_PF]]=9,VLOOKUP(Table1[[#This Row],[Item_Platform]],[1]!Table2[#All],12,FALSE),0)</f>
        <v>0</v>
      </c>
      <c r="BM61" s="25">
        <f>SUM(Table1[[#This Row],[yr 9_wl]:[yr 9_pf]])</f>
        <v>0</v>
      </c>
      <c r="BN61" s="25">
        <f>IF(Table1[[#This Row],[Years_Next_Rehab_Well]]=10,VLOOKUP(Table1[[#This Row],[Item_Rehab_WL]],[1]!Table2[#All],13,FALSE),0)</f>
        <v>0</v>
      </c>
      <c r="BO61" s="25">
        <f>IF(Table1[[#This Row],[Adjusted_ULife_HP]]=10,VLOOKUP(Table1[[#This Row],[Item_Handpump]],[1]!Table2[#All],13,FALSE),0)</f>
        <v>0</v>
      </c>
      <c r="BP61" s="25">
        <f>IF(Table1[[#This Row],[Adjusted_ULife_PF]]=10,VLOOKUP(Table1[[#This Row],[Item_Platform]],[1]!Table2[#All],13,FALSE),0)</f>
        <v>4658.7723125163184</v>
      </c>
      <c r="BQ61" s="25">
        <f>SUM(Table1[[#This Row],[yr 10_wl]:[yr 10_pf]])</f>
        <v>4658.7723125163184</v>
      </c>
      <c r="BR61" s="25">
        <f>IF(Table1[[#This Row],[Years_Next_Rehab_Well]]=11,VLOOKUP(Table1[[#This Row],[Item_Rehab_WL]],[1]!Table2[#All],14,FALSE),0)</f>
        <v>0</v>
      </c>
      <c r="BS61" s="25">
        <f>IF(Table1[[#This Row],[Adjusted_ULife_HP]]=11,VLOOKUP(Table1[[#This Row],[Item_Handpump]],[1]!Table2[#All],14,FALSE),0)</f>
        <v>0</v>
      </c>
      <c r="BT61" s="25">
        <f>IF(Table1[[#This Row],[Adjusted_ULife_PF]]=11,VLOOKUP(Table1[[#This Row],[Item_Platform]],[1]!Table2[#All],14,FALSE),0)</f>
        <v>0</v>
      </c>
      <c r="BU61" s="25">
        <f>SUM(Table1[[#This Row],[yr 11_wl]:[yr 11_pf]])</f>
        <v>0</v>
      </c>
      <c r="BV61" s="25">
        <f>IF(Table1[[#This Row],[Years_Next_Rehab_Well]]=12,VLOOKUP(Table1[[#This Row],[Item_Rehab_WL]],[1]!Table2[#All],15,FALSE),0)</f>
        <v>0</v>
      </c>
      <c r="BW61" s="25">
        <f>IF(Table1[[#This Row],[Adjusted_ULife_HP]]=12,VLOOKUP(Table1[[#This Row],[Item_Handpump]],[1]!Table2[#All],15,FALSE),0)</f>
        <v>0</v>
      </c>
      <c r="BX61" s="25">
        <f>IF(Table1[[#This Row],[Adjusted_ULife_PF]]=12,VLOOKUP(Table1[[#This Row],[Item_Platform]],[1]!Table2[#All],15,FALSE),0)</f>
        <v>0</v>
      </c>
      <c r="BY61" s="25">
        <f>SUM(Table1[[#This Row],[yr 12_wl]:[yr 12_pf]])</f>
        <v>0</v>
      </c>
      <c r="BZ61" s="25">
        <f>IF(Table1[[#This Row],[Years_Next_Rehab_Well]]=13,VLOOKUP(Table1[[#This Row],[Item_Rehab_WL]],[1]!Table2[#All],16,FALSE),0)</f>
        <v>0</v>
      </c>
      <c r="CA61" s="25">
        <f>IF(Table1[[#This Row],[Adjusted_ULife_HP]]=13,VLOOKUP(Table1[[#This Row],[Item_Handpump]],[1]!Table2[#All],16,FALSE),0)</f>
        <v>0</v>
      </c>
      <c r="CB61" s="25">
        <f>IF(Table1[[#This Row],[Adjusted_ULife_PF]]=13,VLOOKUP(Table1[[#This Row],[Item_Platform]],[1]!Table2[#All],16,FALSE),0)</f>
        <v>0</v>
      </c>
      <c r="CC61" s="25">
        <f>SUM(Table1[[#This Row],[yr 13_wl]:[yr 13_pf]])</f>
        <v>0</v>
      </c>
      <c r="CD61" s="12"/>
    </row>
    <row r="62" spans="1:82" s="11" customFormat="1" x14ac:dyDescent="0.25">
      <c r="A62" s="11" t="str">
        <f>IF([1]Input_monitoring_data!A58="","",[1]Input_monitoring_data!A58)</f>
        <v>9bdt-5vs7-r0m9</v>
      </c>
      <c r="B62" s="22" t="str">
        <f>[1]Input_monitoring_data!BH58</f>
        <v>Ntotroso</v>
      </c>
      <c r="C62" s="22" t="str">
        <f>[1]Input_monitoring_data!BI58</f>
        <v>Ntotroso</v>
      </c>
      <c r="D62" s="22" t="str">
        <f>[1]Input_monitoring_data!P58</f>
        <v>7.067274954809998</v>
      </c>
      <c r="E62" s="22" t="str">
        <f>[1]Input_monitoring_data!Q58</f>
        <v>-2.319932969902633</v>
      </c>
      <c r="F62" s="22" t="str">
        <f>[1]Input_monitoring_data!V58</f>
        <v>Akentem</v>
      </c>
      <c r="G62" s="23" t="str">
        <f>[1]Input_monitoring_data!U58</f>
        <v>Borehole</v>
      </c>
      <c r="H62" s="22">
        <f>[1]Input_monitoring_data!X58</f>
        <v>2008</v>
      </c>
      <c r="I62" s="21" t="str">
        <f>[1]Input_monitoring_data!AB58</f>
        <v>Borehole redevelopment</v>
      </c>
      <c r="J62" s="21">
        <f>[1]Input_monitoring_data!AC58</f>
        <v>0</v>
      </c>
      <c r="K62" s="23" t="str">
        <f>[1]Input_monitoring_data!W58</f>
        <v>AfriDev</v>
      </c>
      <c r="L62" s="22">
        <f>[1]Input_monitoring_data!X58</f>
        <v>2008</v>
      </c>
      <c r="M62" s="21" t="str">
        <f>IF([1]Input_monitoring_data!BL58&gt;'Point Sources_Asset_Register_'!L62,[1]Input_monitoring_data!BL58,"")</f>
        <v/>
      </c>
      <c r="N62" s="22" t="str">
        <f>[1]Input_monitoring_data!BQ58</f>
        <v>not functional</v>
      </c>
      <c r="O62" s="22">
        <f>[1]Input_monitoring_data!AJ58</f>
        <v>0</v>
      </c>
      <c r="P62" s="23" t="s">
        <v>0</v>
      </c>
      <c r="Q62" s="22">
        <f>L62</f>
        <v>2008</v>
      </c>
      <c r="R62" s="21" t="str">
        <f>M62</f>
        <v/>
      </c>
      <c r="S62" s="20">
        <f>[1]Input_EUL_CRC_ERC!$B$17-Table1[[#This Row],[Year Installed_WL]]</f>
        <v>9</v>
      </c>
      <c r="T62" s="20">
        <f>[1]Input_EUL_CRC_ERC!$B$17-(IF(Table1[[#This Row],[Year Last_Rehab_WL ]]=0,Table1[[#This Row],[Year Installed_WL]],[1]Input_EUL_CRC_ERC!$B$17-Table1[[#This Row],[Year Last_Rehab_WL ]]))</f>
        <v>9</v>
      </c>
      <c r="U62" s="20">
        <f>(VLOOKUP(Table1[[#This Row],[Item_Rehab_WL]],[1]Input_EUL_CRC_ERC!$C$17:$E$27,2,FALSE)-Table1[[#This Row],[Last Rehab Age]])</f>
        <v>6</v>
      </c>
      <c r="V62" s="19">
        <f>[1]Input_EUL_CRC_ERC!$B$17-Table1[[#This Row],[Year Installed_HP]]</f>
        <v>9</v>
      </c>
      <c r="W62" s="19">
        <f>(VLOOKUP(Table1[[#This Row],[Item_Handpump]],[1]!Table2[#All],2,FALSE))-(IF(Table1[[#This Row],[Year Last_Rehab_HP]]="",Table1[[#This Row],[Current Age_Handpump]],[1]Input_EUL_CRC_ERC!$B$17-Table1[[#This Row],[Year Last_Rehab_HP]]))</f>
        <v>11</v>
      </c>
      <c r="X62" s="19">
        <f>[1]Input_EUL_CRC_ERC!$B$17-Table1[[#This Row],[Year Installed_PF]]</f>
        <v>9</v>
      </c>
      <c r="Y62" s="19">
        <f>(VLOOKUP(Table1[[#This Row],[Item_Platform]],[1]!Table2[#All],2,FALSE))-(IF(Table1[[#This Row],[Year Last_Rehab_PF]]="",Table1[[#This Row],[Current Age_Platform]],[1]Input_EUL_CRC_ERC!$B$17-Table1[[#This Row],[Year Last_Rehab_PF]]))</f>
        <v>1</v>
      </c>
      <c r="Z62" s="25">
        <f>IF(Table1[[#This Row],[Years_Next_Rehab_Well]]&lt;=0,VLOOKUP(Table1[[#This Row],[Item_Rehab_WL]],[1]!Table2[#All],3,FALSE),0)</f>
        <v>0</v>
      </c>
      <c r="AA62" s="18">
        <f>IF(Table1[[#This Row],[Adjusted_ULife_HP]]&lt;=0,VLOOKUP(Table1[[#This Row],[Item_Handpump]],[1]!Table2[#All],3,FALSE),0)</f>
        <v>0</v>
      </c>
      <c r="AB62" s="18">
        <f>IF(Table1[[#This Row],[Adjusted_ULife_PF]]&lt;=0,VLOOKUP(Table1[[#This Row],[Item_Platform]],[1]!Table2[#All],3,FALSE),0)</f>
        <v>0</v>
      </c>
      <c r="AC62" s="18">
        <f>SUM(Table1[[#This Row],[current yr_wl]:[current yr_pf]])</f>
        <v>0</v>
      </c>
      <c r="AD62" s="25">
        <f>IF(Table1[[#This Row],[Years_Next_Rehab_Well]]=1,VLOOKUP(Table1[[#This Row],[Item_Rehab_WL]],[1]!Table2[#All],4,FALSE),0)</f>
        <v>0</v>
      </c>
      <c r="AE62" s="25">
        <f>IF(Table1[[#This Row],[Adjusted_ULife_HP]]=1,VLOOKUP(Table1[[#This Row],[Item_Handpump]],[1]!Table2[#All],4,FALSE),0)</f>
        <v>0</v>
      </c>
      <c r="AF62" s="25">
        <f>IF(Table1[[#This Row],[Adjusted_ULife_PF]]=1,VLOOKUP(Table1[[#This Row],[Item_Platform]],[1]!Table2[#All],4,FALSE),0)</f>
        <v>1680.0000000000002</v>
      </c>
      <c r="AG62" s="25">
        <f>SUM(Table1[[#This Row],[yr 1_wl]:[yr 1_pf]])</f>
        <v>1680.0000000000002</v>
      </c>
      <c r="AH62" s="25">
        <f>IF(Table1[[#This Row],[Years_Next_Rehab_Well]]=2,VLOOKUP(Table1[[#This Row],[Item_Rehab_WL]],[1]!Table2[#All],5,FALSE),0)</f>
        <v>0</v>
      </c>
      <c r="AI62" s="25">
        <f>IF(Table1[[#This Row],[Adjusted_ULife_HP]]=2,VLOOKUP(Table1[[#This Row],[Item_Handpump]],[1]!Table2[#All],5,FALSE),0)</f>
        <v>0</v>
      </c>
      <c r="AJ62" s="25">
        <f>IF(Table1[[#This Row],[Adjusted_ULife_PF]]=2,VLOOKUP(Table1[[#This Row],[Item_Platform]],[1]!Table2[#All],5,FALSE),0)</f>
        <v>0</v>
      </c>
      <c r="AK62" s="25">
        <f>SUM(Table1[[#This Row],[yr 2_wl]:[yr 2_pf]])</f>
        <v>0</v>
      </c>
      <c r="AL62" s="25">
        <f>IF(Table1[[#This Row],[Years_Next_Rehab_Well]]=3,VLOOKUP(Table1[[#This Row],[Item_Rehab_WL]],[1]!Table2[#All],6,FALSE),0)</f>
        <v>0</v>
      </c>
      <c r="AM62" s="25">
        <f>IF(Table1[[#This Row],[Adjusted_ULife_HP]]=3,VLOOKUP(Table1[[#This Row],[Item_Handpump]],[1]!Table2[#All],6,FALSE),0)</f>
        <v>0</v>
      </c>
      <c r="AN62" s="25">
        <f>IF(Table1[[#This Row],[Adjusted_ULife_PF]]=3,VLOOKUP(Table1[[#This Row],[Item_Platform]],[1]!Table2[#All],6,FALSE),0)</f>
        <v>0</v>
      </c>
      <c r="AO62" s="25">
        <f>SUM(Table1[[#This Row],[yr 3_wl]:[yr 3_pf]])</f>
        <v>0</v>
      </c>
      <c r="AP62" s="25">
        <f>IF(Table1[[#This Row],[Years_Next_Rehab_Well]]=4,VLOOKUP(Table1[[#This Row],[Item_Rehab_WL]],[1]!Table2[#All],7,FALSE),0)</f>
        <v>0</v>
      </c>
      <c r="AQ62" s="25">
        <f>IF(Table1[[#This Row],[Adjusted_ULife_HP]]=4,VLOOKUP(Table1[[#This Row],[Item_Handpump]],[1]!Table2[#All],7,FALSE),0)</f>
        <v>0</v>
      </c>
      <c r="AR62" s="25">
        <f>IF(Table1[[#This Row],[Adjusted_ULife_PF]]=4,VLOOKUP(Table1[[#This Row],[Item_Platform]],[1]!Table2[#All],7,FALSE),0)</f>
        <v>0</v>
      </c>
      <c r="AS62" s="25">
        <f>SUM(Table1[[#This Row],[yr 4_wl]:[yr 4_pf]])</f>
        <v>0</v>
      </c>
      <c r="AT62" s="25">
        <f>IF(Table1[[#This Row],[Years_Next_Rehab_Well]]=5,VLOOKUP(Table1[[#This Row],[Item_Rehab_WL]],[1]!Table2[#All],8,FALSE),0)</f>
        <v>0</v>
      </c>
      <c r="AU62" s="25">
        <f>IF(Table1[[#This Row],[Adjusted_ULife_HP]]=5,VLOOKUP(Table1[[#This Row],[Item_Handpump]],[1]!Table2[#All],8,FALSE),0)</f>
        <v>0</v>
      </c>
      <c r="AV62" s="25">
        <f>IF(Table1[[#This Row],[Adjusted_ULife_PF]]=5,VLOOKUP(Table1[[#This Row],[Item_Platform]],[1]!Table2[#All],8,FALSE),0)</f>
        <v>0</v>
      </c>
      <c r="AW62" s="25">
        <f>SUM(Table1[[#This Row],[yr 5_wl]:[yr 5_pf]])</f>
        <v>0</v>
      </c>
      <c r="AX62" s="25">
        <f>IF(Table1[[#This Row],[Years_Next_Rehab_Well]]=6,VLOOKUP(Table1[[#This Row],[Item_Rehab_WL]],[1]!Table2[#All],9,FALSE),0)</f>
        <v>7237.3498456746702</v>
      </c>
      <c r="AY62" s="25">
        <f>IF(Table1[[#This Row],[Adjusted_ULife_HP]]=6,VLOOKUP(Table1[[#This Row],[Item_Handpump]],[1]!Table2[#All],9,FALSE),0)</f>
        <v>0</v>
      </c>
      <c r="AZ62" s="25">
        <f>IF(Table1[[#This Row],[Adjusted_ULife_PF]]=6,VLOOKUP(Table1[[#This Row],[Item_Platform]],[1]!Table2[#All],9,FALSE),0)</f>
        <v>0</v>
      </c>
      <c r="BA62" s="25">
        <f>SUM(Table1[[#This Row],[yr 6_wl]:[yr 6_pf]])</f>
        <v>7237.3498456746702</v>
      </c>
      <c r="BB62" s="25">
        <f>IF(Table1[[#This Row],[Years_Next_Rehab_Well]]=7,VLOOKUP(Table1[[#This Row],[Item_Rehab_WL]],[1]!Table2[#All],10,FALSE),0)</f>
        <v>0</v>
      </c>
      <c r="BC62" s="25">
        <f>IF(Table1[[#This Row],[Adjusted_ULife_HP]]=7,VLOOKUP(Table1[[#This Row],[Item_Handpump]],[1]!Table2[#All],10,FALSE),0)</f>
        <v>0</v>
      </c>
      <c r="BD62" s="25">
        <f>IF(Table1[[#This Row],[Adjusted_ULife_PF]]=7,VLOOKUP(Table1[[#This Row],[Item_Platform]],[1]!Table2[#All],10,FALSE),0)</f>
        <v>0</v>
      </c>
      <c r="BE62" s="25">
        <f>SUM(Table1[[#This Row],[yr 7_wl]:[yr 7_pf]])</f>
        <v>0</v>
      </c>
      <c r="BF62" s="25">
        <f>IF(Table1[[#This Row],[Years_Next_Rehab_Well]]=8,VLOOKUP(Table1[[#This Row],[Item_Rehab_WL]],[1]!Table2[#All],11,FALSE),0)</f>
        <v>0</v>
      </c>
      <c r="BG62" s="25">
        <f>IF(Table1[[#This Row],[Adjusted_ULife_HP]]=8,VLOOKUP(Table1[[#This Row],[Item_Handpump]],[1]!Table2[#All],11,FALSE),0)</f>
        <v>0</v>
      </c>
      <c r="BH62" s="25">
        <f>IF(Table1[[#This Row],[Adjusted_ULife_PF]]=8,VLOOKUP(Table1[[#This Row],[Item_Platform]],[1]!Table2[#All],11,FALSE),0)</f>
        <v>0</v>
      </c>
      <c r="BI62" s="25">
        <f>SUM(Table1[[#This Row],[yr 8_wl]:[yr 8_pf]])</f>
        <v>0</v>
      </c>
      <c r="BJ62" s="25">
        <f>IF(Table1[[#This Row],[Years_Next_Rehab_Well]]=9,VLOOKUP(Table1[[#This Row],[Item_Rehab_WL]],[1]!Table2[#All],12,FALSE),0)</f>
        <v>0</v>
      </c>
      <c r="BK62" s="25">
        <f>IF(Table1[[#This Row],[Adjusted_ULife_HP]]=9,VLOOKUP(Table1[[#This Row],[Item_Handpump]],[1]!Table2[#All],12,FALSE),0)</f>
        <v>0</v>
      </c>
      <c r="BL62" s="25">
        <f>IF(Table1[[#This Row],[Adjusted_ULife_PF]]=9,VLOOKUP(Table1[[#This Row],[Item_Platform]],[1]!Table2[#All],12,FALSE),0)</f>
        <v>0</v>
      </c>
      <c r="BM62" s="25">
        <f>SUM(Table1[[#This Row],[yr 9_wl]:[yr 9_pf]])</f>
        <v>0</v>
      </c>
      <c r="BN62" s="25">
        <f>IF(Table1[[#This Row],[Years_Next_Rehab_Well]]=10,VLOOKUP(Table1[[#This Row],[Item_Rehab_WL]],[1]!Table2[#All],13,FALSE),0)</f>
        <v>0</v>
      </c>
      <c r="BO62" s="25">
        <f>IF(Table1[[#This Row],[Adjusted_ULife_HP]]=10,VLOOKUP(Table1[[#This Row],[Item_Handpump]],[1]!Table2[#All],13,FALSE),0)</f>
        <v>0</v>
      </c>
      <c r="BP62" s="25">
        <f>IF(Table1[[#This Row],[Adjusted_ULife_PF]]=10,VLOOKUP(Table1[[#This Row],[Item_Platform]],[1]!Table2[#All],13,FALSE),0)</f>
        <v>0</v>
      </c>
      <c r="BQ62" s="25">
        <f>SUM(Table1[[#This Row],[yr 10_wl]:[yr 10_pf]])</f>
        <v>0</v>
      </c>
      <c r="BR62" s="25">
        <f>IF(Table1[[#This Row],[Years_Next_Rehab_Well]]=11,VLOOKUP(Table1[[#This Row],[Item_Rehab_WL]],[1]!Table2[#All],14,FALSE),0)</f>
        <v>0</v>
      </c>
      <c r="BS62" s="25">
        <f>IF(Table1[[#This Row],[Adjusted_ULife_HP]]=11,VLOOKUP(Table1[[#This Row],[Item_Handpump]],[1]!Table2[#All],14,FALSE),0)</f>
        <v>1391.4199973382069</v>
      </c>
      <c r="BT62" s="25">
        <f>IF(Table1[[#This Row],[Adjusted_ULife_PF]]=11,VLOOKUP(Table1[[#This Row],[Item_Platform]],[1]!Table2[#All],14,FALSE),0)</f>
        <v>0</v>
      </c>
      <c r="BU62" s="25">
        <f>SUM(Table1[[#This Row],[yr 11_wl]:[yr 11_pf]])</f>
        <v>1391.4199973382069</v>
      </c>
      <c r="BV62" s="25">
        <f>IF(Table1[[#This Row],[Years_Next_Rehab_Well]]=12,VLOOKUP(Table1[[#This Row],[Item_Rehab_WL]],[1]!Table2[#All],15,FALSE),0)</f>
        <v>0</v>
      </c>
      <c r="BW62" s="25">
        <f>IF(Table1[[#This Row],[Adjusted_ULife_HP]]=12,VLOOKUP(Table1[[#This Row],[Item_Handpump]],[1]!Table2[#All],15,FALSE),0)</f>
        <v>0</v>
      </c>
      <c r="BX62" s="25">
        <f>IF(Table1[[#This Row],[Adjusted_ULife_PF]]=12,VLOOKUP(Table1[[#This Row],[Item_Platform]],[1]!Table2[#All],15,FALSE),0)</f>
        <v>0</v>
      </c>
      <c r="BY62" s="25">
        <f>SUM(Table1[[#This Row],[yr 12_wl]:[yr 12_pf]])</f>
        <v>0</v>
      </c>
      <c r="BZ62" s="25">
        <f>IF(Table1[[#This Row],[Years_Next_Rehab_Well]]=13,VLOOKUP(Table1[[#This Row],[Item_Rehab_WL]],[1]!Table2[#All],16,FALSE),0)</f>
        <v>0</v>
      </c>
      <c r="CA62" s="25">
        <f>IF(Table1[[#This Row],[Adjusted_ULife_HP]]=13,VLOOKUP(Table1[[#This Row],[Item_Handpump]],[1]!Table2[#All],16,FALSE),0)</f>
        <v>0</v>
      </c>
      <c r="CB62" s="25">
        <f>IF(Table1[[#This Row],[Adjusted_ULife_PF]]=13,VLOOKUP(Table1[[#This Row],[Item_Platform]],[1]!Table2[#All],16,FALSE),0)</f>
        <v>0</v>
      </c>
      <c r="CC62" s="25">
        <f>SUM(Table1[[#This Row],[yr 13_wl]:[yr 13_pf]])</f>
        <v>0</v>
      </c>
      <c r="CD62" s="12"/>
    </row>
    <row r="63" spans="1:82" s="11" customFormat="1" x14ac:dyDescent="0.25">
      <c r="A63" s="11" t="str">
        <f>IF([1]Input_monitoring_data!A59="","",[1]Input_monitoring_data!A59)</f>
        <v>9qd8-00ry-dm09</v>
      </c>
      <c r="B63" s="22" t="str">
        <f>[1]Input_monitoring_data!BH59</f>
        <v>Gambia</v>
      </c>
      <c r="C63" s="22" t="str">
        <f>[1]Input_monitoring_data!BI59</f>
        <v>Asirifikrom</v>
      </c>
      <c r="D63" s="22" t="str">
        <f>[1]Input_monitoring_data!P59</f>
        <v>7.027268676702586</v>
      </c>
      <c r="E63" s="22" t="str">
        <f>[1]Input_monitoring_data!Q59</f>
        <v>-2.690678807090575</v>
      </c>
      <c r="F63" s="22" t="str">
        <f>[1]Input_monitoring_data!V59</f>
        <v>Ofa K's Palm Groof Farm</v>
      </c>
      <c r="G63" s="23" t="str">
        <f>[1]Input_monitoring_data!U59</f>
        <v>Borehole</v>
      </c>
      <c r="H63" s="22">
        <f>[1]Input_monitoring_data!X59</f>
        <v>2012</v>
      </c>
      <c r="I63" s="21" t="str">
        <f>[1]Input_monitoring_data!AB59</f>
        <v>Borehole redevelopment</v>
      </c>
      <c r="J63" s="21">
        <f>[1]Input_monitoring_data!AC59</f>
        <v>0</v>
      </c>
      <c r="K63" s="23" t="str">
        <f>[1]Input_monitoring_data!W59</f>
        <v>AfriDev</v>
      </c>
      <c r="L63" s="22">
        <f>[1]Input_monitoring_data!X59</f>
        <v>2012</v>
      </c>
      <c r="M63" s="21" t="str">
        <f>IF([1]Input_monitoring_data!BL59&gt;'Point Sources_Asset_Register_'!L63,[1]Input_monitoring_data!BL59,"")</f>
        <v/>
      </c>
      <c r="N63" s="22" t="str">
        <f>[1]Input_monitoring_data!BQ59</f>
        <v>functional</v>
      </c>
      <c r="O63" s="22">
        <f>[1]Input_monitoring_data!AJ59</f>
        <v>0</v>
      </c>
      <c r="P63" s="23" t="s">
        <v>0</v>
      </c>
      <c r="Q63" s="22">
        <f>L63</f>
        <v>2012</v>
      </c>
      <c r="R63" s="21" t="str">
        <f>M63</f>
        <v/>
      </c>
      <c r="S63" s="20">
        <f>[1]Input_EUL_CRC_ERC!$B$17-Table1[[#This Row],[Year Installed_WL]]</f>
        <v>5</v>
      </c>
      <c r="T63" s="20">
        <f>[1]Input_EUL_CRC_ERC!$B$17-(IF(Table1[[#This Row],[Year Last_Rehab_WL ]]=0,Table1[[#This Row],[Year Installed_WL]],[1]Input_EUL_CRC_ERC!$B$17-Table1[[#This Row],[Year Last_Rehab_WL ]]))</f>
        <v>5</v>
      </c>
      <c r="U63" s="20">
        <f>(VLOOKUP(Table1[[#This Row],[Item_Rehab_WL]],[1]Input_EUL_CRC_ERC!$C$17:$E$27,2,FALSE)-Table1[[#This Row],[Last Rehab Age]])</f>
        <v>10</v>
      </c>
      <c r="V63" s="19">
        <f>[1]Input_EUL_CRC_ERC!$B$17-Table1[[#This Row],[Year Installed_HP]]</f>
        <v>5</v>
      </c>
      <c r="W63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63" s="19">
        <f>[1]Input_EUL_CRC_ERC!$B$17-Table1[[#This Row],[Year Installed_PF]]</f>
        <v>5</v>
      </c>
      <c r="Y63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63" s="25">
        <f>IF(Table1[[#This Row],[Years_Next_Rehab_Well]]&lt;=0,VLOOKUP(Table1[[#This Row],[Item_Rehab_WL]],[1]!Table2[#All],3,FALSE),0)</f>
        <v>0</v>
      </c>
      <c r="AA63" s="18">
        <f>IF(Table1[[#This Row],[Adjusted_ULife_HP]]&lt;=0,VLOOKUP(Table1[[#This Row],[Item_Handpump]],[1]!Table2[#All],3,FALSE),0)</f>
        <v>0</v>
      </c>
      <c r="AB63" s="18">
        <f>IF(Table1[[#This Row],[Adjusted_ULife_PF]]&lt;=0,VLOOKUP(Table1[[#This Row],[Item_Platform]],[1]!Table2[#All],3,FALSE),0)</f>
        <v>0</v>
      </c>
      <c r="AC63" s="18">
        <f>SUM(Table1[[#This Row],[current yr_wl]:[current yr_pf]])</f>
        <v>0</v>
      </c>
      <c r="AD63" s="25">
        <f>IF(Table1[[#This Row],[Years_Next_Rehab_Well]]=1,VLOOKUP(Table1[[#This Row],[Item_Rehab_WL]],[1]!Table2[#All],4,FALSE),0)</f>
        <v>0</v>
      </c>
      <c r="AE63" s="25">
        <f>IF(Table1[[#This Row],[Adjusted_ULife_HP]]=1,VLOOKUP(Table1[[#This Row],[Item_Handpump]],[1]!Table2[#All],4,FALSE),0)</f>
        <v>0</v>
      </c>
      <c r="AF63" s="25">
        <f>IF(Table1[[#This Row],[Adjusted_ULife_PF]]=1,VLOOKUP(Table1[[#This Row],[Item_Platform]],[1]!Table2[#All],4,FALSE),0)</f>
        <v>0</v>
      </c>
      <c r="AG63" s="25">
        <f>SUM(Table1[[#This Row],[yr 1_wl]:[yr 1_pf]])</f>
        <v>0</v>
      </c>
      <c r="AH63" s="25">
        <f>IF(Table1[[#This Row],[Years_Next_Rehab_Well]]=2,VLOOKUP(Table1[[#This Row],[Item_Rehab_WL]],[1]!Table2[#All],5,FALSE),0)</f>
        <v>0</v>
      </c>
      <c r="AI63" s="25">
        <f>IF(Table1[[#This Row],[Adjusted_ULife_HP]]=2,VLOOKUP(Table1[[#This Row],[Item_Handpump]],[1]!Table2[#All],5,FALSE),0)</f>
        <v>0</v>
      </c>
      <c r="AJ63" s="25">
        <f>IF(Table1[[#This Row],[Adjusted_ULife_PF]]=2,VLOOKUP(Table1[[#This Row],[Item_Platform]],[1]!Table2[#All],5,FALSE),0)</f>
        <v>0</v>
      </c>
      <c r="AK63" s="25">
        <f>SUM(Table1[[#This Row],[yr 2_wl]:[yr 2_pf]])</f>
        <v>0</v>
      </c>
      <c r="AL63" s="25">
        <f>IF(Table1[[#This Row],[Years_Next_Rehab_Well]]=3,VLOOKUP(Table1[[#This Row],[Item_Rehab_WL]],[1]!Table2[#All],6,FALSE),0)</f>
        <v>0</v>
      </c>
      <c r="AM63" s="25">
        <f>IF(Table1[[#This Row],[Adjusted_ULife_HP]]=3,VLOOKUP(Table1[[#This Row],[Item_Handpump]],[1]!Table2[#All],6,FALSE),0)</f>
        <v>0</v>
      </c>
      <c r="AN63" s="25">
        <f>IF(Table1[[#This Row],[Adjusted_ULife_PF]]=3,VLOOKUP(Table1[[#This Row],[Item_Platform]],[1]!Table2[#All],6,FALSE),0)</f>
        <v>0</v>
      </c>
      <c r="AO63" s="25">
        <f>SUM(Table1[[#This Row],[yr 3_wl]:[yr 3_pf]])</f>
        <v>0</v>
      </c>
      <c r="AP63" s="25">
        <f>IF(Table1[[#This Row],[Years_Next_Rehab_Well]]=4,VLOOKUP(Table1[[#This Row],[Item_Rehab_WL]],[1]!Table2[#All],7,FALSE),0)</f>
        <v>0</v>
      </c>
      <c r="AQ63" s="25">
        <f>IF(Table1[[#This Row],[Adjusted_ULife_HP]]=4,VLOOKUP(Table1[[#This Row],[Item_Handpump]],[1]!Table2[#All],7,FALSE),0)</f>
        <v>0</v>
      </c>
      <c r="AR63" s="25">
        <f>IF(Table1[[#This Row],[Adjusted_ULife_PF]]=4,VLOOKUP(Table1[[#This Row],[Item_Platform]],[1]!Table2[#All],7,FALSE),0)</f>
        <v>0</v>
      </c>
      <c r="AS63" s="25">
        <f>SUM(Table1[[#This Row],[yr 4_wl]:[yr 4_pf]])</f>
        <v>0</v>
      </c>
      <c r="AT63" s="25">
        <f>IF(Table1[[#This Row],[Years_Next_Rehab_Well]]=5,VLOOKUP(Table1[[#This Row],[Item_Rehab_WL]],[1]!Table2[#All],8,FALSE),0)</f>
        <v>0</v>
      </c>
      <c r="AU63" s="25">
        <f>IF(Table1[[#This Row],[Adjusted_ULife_HP]]=5,VLOOKUP(Table1[[#This Row],[Item_Handpump]],[1]!Table2[#All],8,FALSE),0)</f>
        <v>0</v>
      </c>
      <c r="AV63" s="25">
        <f>IF(Table1[[#This Row],[Adjusted_ULife_PF]]=5,VLOOKUP(Table1[[#This Row],[Item_Platform]],[1]!Table2[#All],8,FALSE),0)</f>
        <v>2643.5125248000018</v>
      </c>
      <c r="AW63" s="25">
        <f>SUM(Table1[[#This Row],[yr 5_wl]:[yr 5_pf]])</f>
        <v>2643.5125248000018</v>
      </c>
      <c r="AX63" s="25">
        <f>IF(Table1[[#This Row],[Years_Next_Rehab_Well]]=6,VLOOKUP(Table1[[#This Row],[Item_Rehab_WL]],[1]!Table2[#All],9,FALSE),0)</f>
        <v>0</v>
      </c>
      <c r="AY63" s="25">
        <f>IF(Table1[[#This Row],[Adjusted_ULife_HP]]=6,VLOOKUP(Table1[[#This Row],[Item_Handpump]],[1]!Table2[#All],9,FALSE),0)</f>
        <v>0</v>
      </c>
      <c r="AZ63" s="25">
        <f>IF(Table1[[#This Row],[Adjusted_ULife_PF]]=6,VLOOKUP(Table1[[#This Row],[Item_Platform]],[1]!Table2[#All],9,FALSE),0)</f>
        <v>0</v>
      </c>
      <c r="BA63" s="25">
        <f>SUM(Table1[[#This Row],[yr 6_wl]:[yr 6_pf]])</f>
        <v>0</v>
      </c>
      <c r="BB63" s="25">
        <f>IF(Table1[[#This Row],[Years_Next_Rehab_Well]]=7,VLOOKUP(Table1[[#This Row],[Item_Rehab_WL]],[1]!Table2[#All],10,FALSE),0)</f>
        <v>0</v>
      </c>
      <c r="BC63" s="25">
        <f>IF(Table1[[#This Row],[Adjusted_ULife_HP]]=7,VLOOKUP(Table1[[#This Row],[Item_Handpump]],[1]!Table2[#All],10,FALSE),0)</f>
        <v>0</v>
      </c>
      <c r="BD63" s="25">
        <f>IF(Table1[[#This Row],[Adjusted_ULife_PF]]=7,VLOOKUP(Table1[[#This Row],[Item_Platform]],[1]!Table2[#All],10,FALSE),0)</f>
        <v>0</v>
      </c>
      <c r="BE63" s="25">
        <f>SUM(Table1[[#This Row],[yr 7_wl]:[yr 7_pf]])</f>
        <v>0</v>
      </c>
      <c r="BF63" s="25">
        <f>IF(Table1[[#This Row],[Years_Next_Rehab_Well]]=8,VLOOKUP(Table1[[#This Row],[Item_Rehab_WL]],[1]!Table2[#All],11,FALSE),0)</f>
        <v>0</v>
      </c>
      <c r="BG63" s="25">
        <f>IF(Table1[[#This Row],[Adjusted_ULife_HP]]=8,VLOOKUP(Table1[[#This Row],[Item_Handpump]],[1]!Table2[#All],11,FALSE),0)</f>
        <v>0</v>
      </c>
      <c r="BH63" s="25">
        <f>IF(Table1[[#This Row],[Adjusted_ULife_PF]]=8,VLOOKUP(Table1[[#This Row],[Item_Platform]],[1]!Table2[#All],11,FALSE),0)</f>
        <v>0</v>
      </c>
      <c r="BI63" s="25">
        <f>SUM(Table1[[#This Row],[yr 8_wl]:[yr 8_pf]])</f>
        <v>0</v>
      </c>
      <c r="BJ63" s="25">
        <f>IF(Table1[[#This Row],[Years_Next_Rehab_Well]]=9,VLOOKUP(Table1[[#This Row],[Item_Rehab_WL]],[1]!Table2[#All],12,FALSE),0)</f>
        <v>0</v>
      </c>
      <c r="BK63" s="25">
        <f>IF(Table1[[#This Row],[Adjusted_ULife_HP]]=9,VLOOKUP(Table1[[#This Row],[Item_Handpump]],[1]!Table2[#All],12,FALSE),0)</f>
        <v>0</v>
      </c>
      <c r="BL63" s="25">
        <f>IF(Table1[[#This Row],[Adjusted_ULife_PF]]=9,VLOOKUP(Table1[[#This Row],[Item_Platform]],[1]!Table2[#All],12,FALSE),0)</f>
        <v>0</v>
      </c>
      <c r="BM63" s="25">
        <f>SUM(Table1[[#This Row],[yr 9_wl]:[yr 9_pf]])</f>
        <v>0</v>
      </c>
      <c r="BN63" s="25">
        <f>IF(Table1[[#This Row],[Years_Next_Rehab_Well]]=10,VLOOKUP(Table1[[#This Row],[Item_Rehab_WL]],[1]!Table2[#All],13,FALSE),0)</f>
        <v>11388.110097262112</v>
      </c>
      <c r="BO63" s="25">
        <f>IF(Table1[[#This Row],[Adjusted_ULife_HP]]=10,VLOOKUP(Table1[[#This Row],[Item_Handpump]],[1]!Table2[#All],13,FALSE),0)</f>
        <v>0</v>
      </c>
      <c r="BP63" s="25">
        <f>IF(Table1[[#This Row],[Adjusted_ULife_PF]]=10,VLOOKUP(Table1[[#This Row],[Item_Platform]],[1]!Table2[#All],13,FALSE),0)</f>
        <v>0</v>
      </c>
      <c r="BQ63" s="25">
        <f>SUM(Table1[[#This Row],[yr 10_wl]:[yr 10_pf]])</f>
        <v>11388.110097262112</v>
      </c>
      <c r="BR63" s="25">
        <f>IF(Table1[[#This Row],[Years_Next_Rehab_Well]]=11,VLOOKUP(Table1[[#This Row],[Item_Rehab_WL]],[1]!Table2[#All],14,FALSE),0)</f>
        <v>0</v>
      </c>
      <c r="BS63" s="25">
        <f>IF(Table1[[#This Row],[Adjusted_ULife_HP]]=11,VLOOKUP(Table1[[#This Row],[Item_Handpump]],[1]!Table2[#All],14,FALSE),0)</f>
        <v>0</v>
      </c>
      <c r="BT63" s="25">
        <f>IF(Table1[[#This Row],[Adjusted_ULife_PF]]=11,VLOOKUP(Table1[[#This Row],[Item_Platform]],[1]!Table2[#All],14,FALSE),0)</f>
        <v>0</v>
      </c>
      <c r="BU63" s="25">
        <f>SUM(Table1[[#This Row],[yr 11_wl]:[yr 11_pf]])</f>
        <v>0</v>
      </c>
      <c r="BV63" s="25">
        <f>IF(Table1[[#This Row],[Years_Next_Rehab_Well]]=12,VLOOKUP(Table1[[#This Row],[Item_Rehab_WL]],[1]!Table2[#All],15,FALSE),0)</f>
        <v>0</v>
      </c>
      <c r="BW63" s="25">
        <f>IF(Table1[[#This Row],[Adjusted_ULife_HP]]=12,VLOOKUP(Table1[[#This Row],[Item_Handpump]],[1]!Table2[#All],15,FALSE),0)</f>
        <v>0</v>
      </c>
      <c r="BX63" s="25">
        <f>IF(Table1[[#This Row],[Adjusted_ULife_PF]]=12,VLOOKUP(Table1[[#This Row],[Item_Platform]],[1]!Table2[#All],15,FALSE),0)</f>
        <v>0</v>
      </c>
      <c r="BY63" s="25">
        <f>SUM(Table1[[#This Row],[yr 12_wl]:[yr 12_pf]])</f>
        <v>0</v>
      </c>
      <c r="BZ63" s="25">
        <f>IF(Table1[[#This Row],[Years_Next_Rehab_Well]]=13,VLOOKUP(Table1[[#This Row],[Item_Rehab_WL]],[1]!Table2[#All],16,FALSE),0)</f>
        <v>0</v>
      </c>
      <c r="CA63" s="25">
        <f>IF(Table1[[#This Row],[Adjusted_ULife_HP]]=13,VLOOKUP(Table1[[#This Row],[Item_Handpump]],[1]!Table2[#All],16,FALSE),0)</f>
        <v>0</v>
      </c>
      <c r="CB63" s="25">
        <f>IF(Table1[[#This Row],[Adjusted_ULife_PF]]=13,VLOOKUP(Table1[[#This Row],[Item_Platform]],[1]!Table2[#All],16,FALSE),0)</f>
        <v>0</v>
      </c>
      <c r="CC63" s="25">
        <f>SUM(Table1[[#This Row],[yr 13_wl]:[yr 13_pf]])</f>
        <v>0</v>
      </c>
      <c r="CD63" s="12"/>
    </row>
    <row r="64" spans="1:82" s="11" customFormat="1" x14ac:dyDescent="0.25">
      <c r="A64" s="11" t="str">
        <f>IF([1]Input_monitoring_data!A60="","",[1]Input_monitoring_data!A60)</f>
        <v>a2kk-139s-1p7u</v>
      </c>
      <c r="B64" s="22" t="str">
        <f>[1]Input_monitoring_data!BH60</f>
        <v>Gambia</v>
      </c>
      <c r="C64" s="22" t="str">
        <f>[1]Input_monitoring_data!BI60</f>
        <v>Nzongohene Akuraa</v>
      </c>
      <c r="D64" s="22" t="str">
        <f>[1]Input_monitoring_data!P60</f>
        <v>7.0578595121653045</v>
      </c>
      <c r="E64" s="22" t="str">
        <f>[1]Input_monitoring_data!Q60</f>
        <v>-2.6514131077810172</v>
      </c>
      <c r="F64" s="22" t="str">
        <f>[1]Input_monitoring_data!V60</f>
        <v>Opposite Alhasan Sulleman House</v>
      </c>
      <c r="G64" s="23" t="str">
        <f>[1]Input_monitoring_data!U60</f>
        <v>Borehole</v>
      </c>
      <c r="H64" s="22">
        <f>[1]Input_monitoring_data!X60</f>
        <v>2011</v>
      </c>
      <c r="I64" s="21" t="str">
        <f>[1]Input_monitoring_data!AB60</f>
        <v>Borehole redevelopment</v>
      </c>
      <c r="J64" s="21">
        <f>[1]Input_monitoring_data!AC60</f>
        <v>0</v>
      </c>
      <c r="K64" s="23" t="str">
        <f>[1]Input_monitoring_data!W60</f>
        <v>AfriDev</v>
      </c>
      <c r="L64" s="22">
        <f>[1]Input_monitoring_data!X60</f>
        <v>2011</v>
      </c>
      <c r="M64" s="21" t="str">
        <f>IF([1]Input_monitoring_data!BL60&gt;'Point Sources_Asset_Register_'!L64,[1]Input_monitoring_data!BL60,"")</f>
        <v/>
      </c>
      <c r="N64" s="22" t="str">
        <f>[1]Input_monitoring_data!BQ60</f>
        <v>functional</v>
      </c>
      <c r="O64" s="22">
        <f>[1]Input_monitoring_data!AJ60</f>
        <v>0</v>
      </c>
      <c r="P64" s="23" t="s">
        <v>0</v>
      </c>
      <c r="Q64" s="22">
        <f>L64</f>
        <v>2011</v>
      </c>
      <c r="R64" s="21" t="str">
        <f>M64</f>
        <v/>
      </c>
      <c r="S64" s="20">
        <f>[1]Input_EUL_CRC_ERC!$B$17-Table1[[#This Row],[Year Installed_WL]]</f>
        <v>6</v>
      </c>
      <c r="T64" s="20">
        <f>[1]Input_EUL_CRC_ERC!$B$17-(IF(Table1[[#This Row],[Year Last_Rehab_WL ]]=0,Table1[[#This Row],[Year Installed_WL]],[1]Input_EUL_CRC_ERC!$B$17-Table1[[#This Row],[Year Last_Rehab_WL ]]))</f>
        <v>6</v>
      </c>
      <c r="U64" s="20">
        <f>(VLOOKUP(Table1[[#This Row],[Item_Rehab_WL]],[1]Input_EUL_CRC_ERC!$C$17:$E$27,2,FALSE)-Table1[[#This Row],[Last Rehab Age]])</f>
        <v>9</v>
      </c>
      <c r="V64" s="19">
        <f>[1]Input_EUL_CRC_ERC!$B$17-Table1[[#This Row],[Year Installed_HP]]</f>
        <v>6</v>
      </c>
      <c r="W64" s="19">
        <f>(VLOOKUP(Table1[[#This Row],[Item_Handpump]],[1]!Table2[#All],2,FALSE))-(IF(Table1[[#This Row],[Year Last_Rehab_HP]]="",Table1[[#This Row],[Current Age_Handpump]],[1]Input_EUL_CRC_ERC!$B$17-Table1[[#This Row],[Year Last_Rehab_HP]]))</f>
        <v>14</v>
      </c>
      <c r="X64" s="19">
        <f>[1]Input_EUL_CRC_ERC!$B$17-Table1[[#This Row],[Year Installed_PF]]</f>
        <v>6</v>
      </c>
      <c r="Y64" s="19">
        <f>(VLOOKUP(Table1[[#This Row],[Item_Platform]],[1]!Table2[#All],2,FALSE))-(IF(Table1[[#This Row],[Year Last_Rehab_PF]]="",Table1[[#This Row],[Current Age_Platform]],[1]Input_EUL_CRC_ERC!$B$17-Table1[[#This Row],[Year Last_Rehab_PF]]))</f>
        <v>4</v>
      </c>
      <c r="Z64" s="25">
        <f>IF(Table1[[#This Row],[Years_Next_Rehab_Well]]&lt;=0,VLOOKUP(Table1[[#This Row],[Item_Rehab_WL]],[1]!Table2[#All],3,FALSE),0)</f>
        <v>0</v>
      </c>
      <c r="AA64" s="18">
        <f>IF(Table1[[#This Row],[Adjusted_ULife_HP]]&lt;=0,VLOOKUP(Table1[[#This Row],[Item_Handpump]],[1]!Table2[#All],3,FALSE),0)</f>
        <v>0</v>
      </c>
      <c r="AB64" s="18">
        <f>IF(Table1[[#This Row],[Adjusted_ULife_PF]]&lt;=0,VLOOKUP(Table1[[#This Row],[Item_Platform]],[1]!Table2[#All],3,FALSE),0)</f>
        <v>0</v>
      </c>
      <c r="AC64" s="18">
        <f>SUM(Table1[[#This Row],[current yr_wl]:[current yr_pf]])</f>
        <v>0</v>
      </c>
      <c r="AD64" s="25">
        <f>IF(Table1[[#This Row],[Years_Next_Rehab_Well]]=1,VLOOKUP(Table1[[#This Row],[Item_Rehab_WL]],[1]!Table2[#All],4,FALSE),0)</f>
        <v>0</v>
      </c>
      <c r="AE64" s="25">
        <f>IF(Table1[[#This Row],[Adjusted_ULife_HP]]=1,VLOOKUP(Table1[[#This Row],[Item_Handpump]],[1]!Table2[#All],4,FALSE),0)</f>
        <v>0</v>
      </c>
      <c r="AF64" s="25">
        <f>IF(Table1[[#This Row],[Adjusted_ULife_PF]]=1,VLOOKUP(Table1[[#This Row],[Item_Platform]],[1]!Table2[#All],4,FALSE),0)</f>
        <v>0</v>
      </c>
      <c r="AG64" s="25">
        <f>SUM(Table1[[#This Row],[yr 1_wl]:[yr 1_pf]])</f>
        <v>0</v>
      </c>
      <c r="AH64" s="25">
        <f>IF(Table1[[#This Row],[Years_Next_Rehab_Well]]=2,VLOOKUP(Table1[[#This Row],[Item_Rehab_WL]],[1]!Table2[#All],5,FALSE),0)</f>
        <v>0</v>
      </c>
      <c r="AI64" s="25">
        <f>IF(Table1[[#This Row],[Adjusted_ULife_HP]]=2,VLOOKUP(Table1[[#This Row],[Item_Handpump]],[1]!Table2[#All],5,FALSE),0)</f>
        <v>0</v>
      </c>
      <c r="AJ64" s="25">
        <f>IF(Table1[[#This Row],[Adjusted_ULife_PF]]=2,VLOOKUP(Table1[[#This Row],[Item_Platform]],[1]!Table2[#All],5,FALSE),0)</f>
        <v>0</v>
      </c>
      <c r="AK64" s="25">
        <f>SUM(Table1[[#This Row],[yr 2_wl]:[yr 2_pf]])</f>
        <v>0</v>
      </c>
      <c r="AL64" s="25">
        <f>IF(Table1[[#This Row],[Years_Next_Rehab_Well]]=3,VLOOKUP(Table1[[#This Row],[Item_Rehab_WL]],[1]!Table2[#All],6,FALSE),0)</f>
        <v>0</v>
      </c>
      <c r="AM64" s="25">
        <f>IF(Table1[[#This Row],[Adjusted_ULife_HP]]=3,VLOOKUP(Table1[[#This Row],[Item_Handpump]],[1]!Table2[#All],6,FALSE),0)</f>
        <v>0</v>
      </c>
      <c r="AN64" s="25">
        <f>IF(Table1[[#This Row],[Adjusted_ULife_PF]]=3,VLOOKUP(Table1[[#This Row],[Item_Platform]],[1]!Table2[#All],6,FALSE),0)</f>
        <v>0</v>
      </c>
      <c r="AO64" s="25">
        <f>SUM(Table1[[#This Row],[yr 3_wl]:[yr 3_pf]])</f>
        <v>0</v>
      </c>
      <c r="AP64" s="25">
        <f>IF(Table1[[#This Row],[Years_Next_Rehab_Well]]=4,VLOOKUP(Table1[[#This Row],[Item_Rehab_WL]],[1]!Table2[#All],7,FALSE),0)</f>
        <v>0</v>
      </c>
      <c r="AQ64" s="25">
        <f>IF(Table1[[#This Row],[Adjusted_ULife_HP]]=4,VLOOKUP(Table1[[#This Row],[Item_Handpump]],[1]!Table2[#All],7,FALSE),0)</f>
        <v>0</v>
      </c>
      <c r="AR64" s="25">
        <f>IF(Table1[[#This Row],[Adjusted_ULife_PF]]=4,VLOOKUP(Table1[[#This Row],[Item_Platform]],[1]!Table2[#All],7,FALSE),0)</f>
        <v>2360.2790400000013</v>
      </c>
      <c r="AS64" s="25">
        <f>SUM(Table1[[#This Row],[yr 4_wl]:[yr 4_pf]])</f>
        <v>2360.2790400000013</v>
      </c>
      <c r="AT64" s="25">
        <f>IF(Table1[[#This Row],[Years_Next_Rehab_Well]]=5,VLOOKUP(Table1[[#This Row],[Item_Rehab_WL]],[1]!Table2[#All],8,FALSE),0)</f>
        <v>0</v>
      </c>
      <c r="AU64" s="25">
        <f>IF(Table1[[#This Row],[Adjusted_ULife_HP]]=5,VLOOKUP(Table1[[#This Row],[Item_Handpump]],[1]!Table2[#All],8,FALSE),0)</f>
        <v>0</v>
      </c>
      <c r="AV64" s="25">
        <f>IF(Table1[[#This Row],[Adjusted_ULife_PF]]=5,VLOOKUP(Table1[[#This Row],[Item_Platform]],[1]!Table2[#All],8,FALSE),0)</f>
        <v>0</v>
      </c>
      <c r="AW64" s="25">
        <f>SUM(Table1[[#This Row],[yr 5_wl]:[yr 5_pf]])</f>
        <v>0</v>
      </c>
      <c r="AX64" s="25">
        <f>IF(Table1[[#This Row],[Years_Next_Rehab_Well]]=6,VLOOKUP(Table1[[#This Row],[Item_Rehab_WL]],[1]!Table2[#All],9,FALSE),0)</f>
        <v>0</v>
      </c>
      <c r="AY64" s="25">
        <f>IF(Table1[[#This Row],[Adjusted_ULife_HP]]=6,VLOOKUP(Table1[[#This Row],[Item_Handpump]],[1]!Table2[#All],9,FALSE),0)</f>
        <v>0</v>
      </c>
      <c r="AZ64" s="25">
        <f>IF(Table1[[#This Row],[Adjusted_ULife_PF]]=6,VLOOKUP(Table1[[#This Row],[Item_Platform]],[1]!Table2[#All],9,FALSE),0)</f>
        <v>0</v>
      </c>
      <c r="BA64" s="25">
        <f>SUM(Table1[[#This Row],[yr 6_wl]:[yr 6_pf]])</f>
        <v>0</v>
      </c>
      <c r="BB64" s="25">
        <f>IF(Table1[[#This Row],[Years_Next_Rehab_Well]]=7,VLOOKUP(Table1[[#This Row],[Item_Rehab_WL]],[1]!Table2[#All],10,FALSE),0)</f>
        <v>0</v>
      </c>
      <c r="BC64" s="25">
        <f>IF(Table1[[#This Row],[Adjusted_ULife_HP]]=7,VLOOKUP(Table1[[#This Row],[Item_Handpump]],[1]!Table2[#All],10,FALSE),0)</f>
        <v>0</v>
      </c>
      <c r="BD64" s="25">
        <f>IF(Table1[[#This Row],[Adjusted_ULife_PF]]=7,VLOOKUP(Table1[[#This Row],[Item_Platform]],[1]!Table2[#All],10,FALSE),0)</f>
        <v>0</v>
      </c>
      <c r="BE64" s="25">
        <f>SUM(Table1[[#This Row],[yr 7_wl]:[yr 7_pf]])</f>
        <v>0</v>
      </c>
      <c r="BF64" s="25">
        <f>IF(Table1[[#This Row],[Years_Next_Rehab_Well]]=8,VLOOKUP(Table1[[#This Row],[Item_Rehab_WL]],[1]!Table2[#All],11,FALSE),0)</f>
        <v>0</v>
      </c>
      <c r="BG64" s="25">
        <f>IF(Table1[[#This Row],[Adjusted_ULife_HP]]=8,VLOOKUP(Table1[[#This Row],[Item_Handpump]],[1]!Table2[#All],11,FALSE),0)</f>
        <v>0</v>
      </c>
      <c r="BH64" s="25">
        <f>IF(Table1[[#This Row],[Adjusted_ULife_PF]]=8,VLOOKUP(Table1[[#This Row],[Item_Platform]],[1]!Table2[#All],11,FALSE),0)</f>
        <v>0</v>
      </c>
      <c r="BI64" s="25">
        <f>SUM(Table1[[#This Row],[yr 8_wl]:[yr 8_pf]])</f>
        <v>0</v>
      </c>
      <c r="BJ64" s="25">
        <f>IF(Table1[[#This Row],[Years_Next_Rehab_Well]]=9,VLOOKUP(Table1[[#This Row],[Item_Rehab_WL]],[1]!Table2[#All],12,FALSE),0)</f>
        <v>10167.955443984027</v>
      </c>
      <c r="BK64" s="25">
        <f>IF(Table1[[#This Row],[Adjusted_ULife_HP]]=9,VLOOKUP(Table1[[#This Row],[Item_Handpump]],[1]!Table2[#All],12,FALSE),0)</f>
        <v>0</v>
      </c>
      <c r="BL64" s="25">
        <f>IF(Table1[[#This Row],[Adjusted_ULife_PF]]=9,VLOOKUP(Table1[[#This Row],[Item_Platform]],[1]!Table2[#All],12,FALSE),0)</f>
        <v>0</v>
      </c>
      <c r="BM64" s="25">
        <f>SUM(Table1[[#This Row],[yr 9_wl]:[yr 9_pf]])</f>
        <v>10167.955443984027</v>
      </c>
      <c r="BN64" s="25">
        <f>IF(Table1[[#This Row],[Years_Next_Rehab_Well]]=10,VLOOKUP(Table1[[#This Row],[Item_Rehab_WL]],[1]!Table2[#All],13,FALSE),0)</f>
        <v>0</v>
      </c>
      <c r="BO64" s="25">
        <f>IF(Table1[[#This Row],[Adjusted_ULife_HP]]=10,VLOOKUP(Table1[[#This Row],[Item_Handpump]],[1]!Table2[#All],13,FALSE),0)</f>
        <v>0</v>
      </c>
      <c r="BP64" s="25">
        <f>IF(Table1[[#This Row],[Adjusted_ULife_PF]]=10,VLOOKUP(Table1[[#This Row],[Item_Platform]],[1]!Table2[#All],13,FALSE),0)</f>
        <v>0</v>
      </c>
      <c r="BQ64" s="25">
        <f>SUM(Table1[[#This Row],[yr 10_wl]:[yr 10_pf]])</f>
        <v>0</v>
      </c>
      <c r="BR64" s="25">
        <f>IF(Table1[[#This Row],[Years_Next_Rehab_Well]]=11,VLOOKUP(Table1[[#This Row],[Item_Rehab_WL]],[1]!Table2[#All],14,FALSE),0)</f>
        <v>0</v>
      </c>
      <c r="BS64" s="25">
        <f>IF(Table1[[#This Row],[Adjusted_ULife_HP]]=11,VLOOKUP(Table1[[#This Row],[Item_Handpump]],[1]!Table2[#All],14,FALSE),0)</f>
        <v>0</v>
      </c>
      <c r="BT64" s="25">
        <f>IF(Table1[[#This Row],[Adjusted_ULife_PF]]=11,VLOOKUP(Table1[[#This Row],[Item_Platform]],[1]!Table2[#All],14,FALSE),0)</f>
        <v>0</v>
      </c>
      <c r="BU64" s="25">
        <f>SUM(Table1[[#This Row],[yr 11_wl]:[yr 11_pf]])</f>
        <v>0</v>
      </c>
      <c r="BV64" s="25">
        <f>IF(Table1[[#This Row],[Years_Next_Rehab_Well]]=12,VLOOKUP(Table1[[#This Row],[Item_Rehab_WL]],[1]!Table2[#All],15,FALSE),0)</f>
        <v>0</v>
      </c>
      <c r="BW64" s="25">
        <f>IF(Table1[[#This Row],[Adjusted_ULife_HP]]=12,VLOOKUP(Table1[[#This Row],[Item_Handpump]],[1]!Table2[#All],15,FALSE),0)</f>
        <v>0</v>
      </c>
      <c r="BX64" s="25">
        <f>IF(Table1[[#This Row],[Adjusted_ULife_PF]]=12,VLOOKUP(Table1[[#This Row],[Item_Platform]],[1]!Table2[#All],15,FALSE),0)</f>
        <v>0</v>
      </c>
      <c r="BY64" s="25">
        <f>SUM(Table1[[#This Row],[yr 12_wl]:[yr 12_pf]])</f>
        <v>0</v>
      </c>
      <c r="BZ64" s="25">
        <f>IF(Table1[[#This Row],[Years_Next_Rehab_Well]]=13,VLOOKUP(Table1[[#This Row],[Item_Rehab_WL]],[1]!Table2[#All],16,FALSE),0)</f>
        <v>0</v>
      </c>
      <c r="CA64" s="25">
        <f>IF(Table1[[#This Row],[Adjusted_ULife_HP]]=13,VLOOKUP(Table1[[#This Row],[Item_Handpump]],[1]!Table2[#All],16,FALSE),0)</f>
        <v>0</v>
      </c>
      <c r="CB64" s="25">
        <f>IF(Table1[[#This Row],[Adjusted_ULife_PF]]=13,VLOOKUP(Table1[[#This Row],[Item_Platform]],[1]!Table2[#All],16,FALSE),0)</f>
        <v>0</v>
      </c>
      <c r="CC64" s="25">
        <f>SUM(Table1[[#This Row],[yr 13_wl]:[yr 13_pf]])</f>
        <v>0</v>
      </c>
      <c r="CD64" s="12"/>
    </row>
    <row r="65" spans="1:82" s="11" customFormat="1" x14ac:dyDescent="0.25">
      <c r="A65" s="11" t="str">
        <f>IF([1]Input_monitoring_data!A61="","",[1]Input_monitoring_data!A61)</f>
        <v>a75v-48p3-sn1n</v>
      </c>
      <c r="B65" s="22" t="str">
        <f>[1]Input_monitoring_data!BH61</f>
        <v>Kenyasi No.1</v>
      </c>
      <c r="C65" s="22" t="str">
        <f>[1]Input_monitoring_data!BI61</f>
        <v>Donkorkrom</v>
      </c>
      <c r="D65" s="22" t="str">
        <f>[1]Input_monitoring_data!P61</f>
        <v>6.925197055429619</v>
      </c>
      <c r="E65" s="22" t="str">
        <f>[1]Input_monitoring_data!Q61</f>
        <v>-2.4326070753669473</v>
      </c>
      <c r="F65" s="22" t="str">
        <f>[1]Input_monitoring_data!V61</f>
        <v>Back Of Anuti Serwa's House</v>
      </c>
      <c r="G65" s="23" t="str">
        <f>[1]Input_monitoring_data!U61</f>
        <v>Borehole</v>
      </c>
      <c r="H65" s="22">
        <f>[1]Input_monitoring_data!X61</f>
        <v>2008</v>
      </c>
      <c r="I65" s="21" t="str">
        <f>[1]Input_monitoring_data!AB61</f>
        <v>Borehole redevelopment</v>
      </c>
      <c r="J65" s="21">
        <f>[1]Input_monitoring_data!AC61</f>
        <v>0</v>
      </c>
      <c r="K65" s="23" t="str">
        <f>[1]Input_monitoring_data!W61</f>
        <v>AfriDev</v>
      </c>
      <c r="L65" s="22">
        <f>[1]Input_monitoring_data!X61</f>
        <v>2008</v>
      </c>
      <c r="M65" s="21">
        <f>IF([1]Input_monitoring_data!BL61&gt;'Point Sources_Asset_Register_'!L65,[1]Input_monitoring_data!BL61,"")</f>
        <v>2016</v>
      </c>
      <c r="N65" s="22" t="str">
        <f>[1]Input_monitoring_data!BQ61</f>
        <v>functional</v>
      </c>
      <c r="O65" s="22">
        <f>[1]Input_monitoring_data!AJ61</f>
        <v>0</v>
      </c>
      <c r="P65" s="23" t="s">
        <v>0</v>
      </c>
      <c r="Q65" s="22">
        <f>L65</f>
        <v>2008</v>
      </c>
      <c r="R65" s="21">
        <f>M65</f>
        <v>2016</v>
      </c>
      <c r="S65" s="20">
        <f>[1]Input_EUL_CRC_ERC!$B$17-Table1[[#This Row],[Year Installed_WL]]</f>
        <v>9</v>
      </c>
      <c r="T65" s="20">
        <f>[1]Input_EUL_CRC_ERC!$B$17-(IF(Table1[[#This Row],[Year Last_Rehab_WL ]]=0,Table1[[#This Row],[Year Installed_WL]],[1]Input_EUL_CRC_ERC!$B$17-Table1[[#This Row],[Year Last_Rehab_WL ]]))</f>
        <v>9</v>
      </c>
      <c r="U65" s="20">
        <f>(VLOOKUP(Table1[[#This Row],[Item_Rehab_WL]],[1]Input_EUL_CRC_ERC!$C$17:$E$27,2,FALSE)-Table1[[#This Row],[Last Rehab Age]])</f>
        <v>6</v>
      </c>
      <c r="V65" s="19">
        <f>[1]Input_EUL_CRC_ERC!$B$17-Table1[[#This Row],[Year Installed_HP]]</f>
        <v>9</v>
      </c>
      <c r="W65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65" s="19">
        <f>[1]Input_EUL_CRC_ERC!$B$17-Table1[[#This Row],[Year Installed_PF]]</f>
        <v>9</v>
      </c>
      <c r="Y65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65" s="25">
        <f>IF(Table1[[#This Row],[Years_Next_Rehab_Well]]&lt;=0,VLOOKUP(Table1[[#This Row],[Item_Rehab_WL]],[1]!Table2[#All],3,FALSE),0)</f>
        <v>0</v>
      </c>
      <c r="AA65" s="18">
        <f>IF(Table1[[#This Row],[Adjusted_ULife_HP]]&lt;=0,VLOOKUP(Table1[[#This Row],[Item_Handpump]],[1]!Table2[#All],3,FALSE),0)</f>
        <v>0</v>
      </c>
      <c r="AB65" s="18">
        <f>IF(Table1[[#This Row],[Adjusted_ULife_PF]]&lt;=0,VLOOKUP(Table1[[#This Row],[Item_Platform]],[1]!Table2[#All],3,FALSE),0)</f>
        <v>0</v>
      </c>
      <c r="AC65" s="18">
        <f>SUM(Table1[[#This Row],[current yr_wl]:[current yr_pf]])</f>
        <v>0</v>
      </c>
      <c r="AD65" s="25">
        <f>IF(Table1[[#This Row],[Years_Next_Rehab_Well]]=1,VLOOKUP(Table1[[#This Row],[Item_Rehab_WL]],[1]!Table2[#All],4,FALSE),0)</f>
        <v>0</v>
      </c>
      <c r="AE65" s="25">
        <f>IF(Table1[[#This Row],[Adjusted_ULife_HP]]=1,VLOOKUP(Table1[[#This Row],[Item_Handpump]],[1]!Table2[#All],4,FALSE),0)</f>
        <v>0</v>
      </c>
      <c r="AF65" s="25">
        <f>IF(Table1[[#This Row],[Adjusted_ULife_PF]]=1,VLOOKUP(Table1[[#This Row],[Item_Platform]],[1]!Table2[#All],4,FALSE),0)</f>
        <v>0</v>
      </c>
      <c r="AG65" s="25">
        <f>SUM(Table1[[#This Row],[yr 1_wl]:[yr 1_pf]])</f>
        <v>0</v>
      </c>
      <c r="AH65" s="25">
        <f>IF(Table1[[#This Row],[Years_Next_Rehab_Well]]=2,VLOOKUP(Table1[[#This Row],[Item_Rehab_WL]],[1]!Table2[#All],5,FALSE),0)</f>
        <v>0</v>
      </c>
      <c r="AI65" s="25">
        <f>IF(Table1[[#This Row],[Adjusted_ULife_HP]]=2,VLOOKUP(Table1[[#This Row],[Item_Handpump]],[1]!Table2[#All],5,FALSE),0)</f>
        <v>0</v>
      </c>
      <c r="AJ65" s="25">
        <f>IF(Table1[[#This Row],[Adjusted_ULife_PF]]=2,VLOOKUP(Table1[[#This Row],[Item_Platform]],[1]!Table2[#All],5,FALSE),0)</f>
        <v>0</v>
      </c>
      <c r="AK65" s="25">
        <f>SUM(Table1[[#This Row],[yr 2_wl]:[yr 2_pf]])</f>
        <v>0</v>
      </c>
      <c r="AL65" s="25">
        <f>IF(Table1[[#This Row],[Years_Next_Rehab_Well]]=3,VLOOKUP(Table1[[#This Row],[Item_Rehab_WL]],[1]!Table2[#All],6,FALSE),0)</f>
        <v>0</v>
      </c>
      <c r="AM65" s="25">
        <f>IF(Table1[[#This Row],[Adjusted_ULife_HP]]=3,VLOOKUP(Table1[[#This Row],[Item_Handpump]],[1]!Table2[#All],6,FALSE),0)</f>
        <v>0</v>
      </c>
      <c r="AN65" s="25">
        <f>IF(Table1[[#This Row],[Adjusted_ULife_PF]]=3,VLOOKUP(Table1[[#This Row],[Item_Platform]],[1]!Table2[#All],6,FALSE),0)</f>
        <v>0</v>
      </c>
      <c r="AO65" s="25">
        <f>SUM(Table1[[#This Row],[yr 3_wl]:[yr 3_pf]])</f>
        <v>0</v>
      </c>
      <c r="AP65" s="25">
        <f>IF(Table1[[#This Row],[Years_Next_Rehab_Well]]=4,VLOOKUP(Table1[[#This Row],[Item_Rehab_WL]],[1]!Table2[#All],7,FALSE),0)</f>
        <v>0</v>
      </c>
      <c r="AQ65" s="25">
        <f>IF(Table1[[#This Row],[Adjusted_ULife_HP]]=4,VLOOKUP(Table1[[#This Row],[Item_Handpump]],[1]!Table2[#All],7,FALSE),0)</f>
        <v>0</v>
      </c>
      <c r="AR65" s="25">
        <f>IF(Table1[[#This Row],[Adjusted_ULife_PF]]=4,VLOOKUP(Table1[[#This Row],[Item_Platform]],[1]!Table2[#All],7,FALSE),0)</f>
        <v>0</v>
      </c>
      <c r="AS65" s="25">
        <f>SUM(Table1[[#This Row],[yr 4_wl]:[yr 4_pf]])</f>
        <v>0</v>
      </c>
      <c r="AT65" s="25">
        <f>IF(Table1[[#This Row],[Years_Next_Rehab_Well]]=5,VLOOKUP(Table1[[#This Row],[Item_Rehab_WL]],[1]!Table2[#All],8,FALSE),0)</f>
        <v>0</v>
      </c>
      <c r="AU65" s="25">
        <f>IF(Table1[[#This Row],[Adjusted_ULife_HP]]=5,VLOOKUP(Table1[[#This Row],[Item_Handpump]],[1]!Table2[#All],8,FALSE),0)</f>
        <v>0</v>
      </c>
      <c r="AV65" s="25">
        <f>IF(Table1[[#This Row],[Adjusted_ULife_PF]]=5,VLOOKUP(Table1[[#This Row],[Item_Platform]],[1]!Table2[#All],8,FALSE),0)</f>
        <v>0</v>
      </c>
      <c r="AW65" s="25">
        <f>SUM(Table1[[#This Row],[yr 5_wl]:[yr 5_pf]])</f>
        <v>0</v>
      </c>
      <c r="AX65" s="25">
        <f>IF(Table1[[#This Row],[Years_Next_Rehab_Well]]=6,VLOOKUP(Table1[[#This Row],[Item_Rehab_WL]],[1]!Table2[#All],9,FALSE),0)</f>
        <v>7237.3498456746702</v>
      </c>
      <c r="AY65" s="25">
        <f>IF(Table1[[#This Row],[Adjusted_ULife_HP]]=6,VLOOKUP(Table1[[#This Row],[Item_Handpump]],[1]!Table2[#All],9,FALSE),0)</f>
        <v>0</v>
      </c>
      <c r="AZ65" s="25">
        <f>IF(Table1[[#This Row],[Adjusted_ULife_PF]]=6,VLOOKUP(Table1[[#This Row],[Item_Platform]],[1]!Table2[#All],9,FALSE),0)</f>
        <v>0</v>
      </c>
      <c r="BA65" s="25">
        <f>SUM(Table1[[#This Row],[yr 6_wl]:[yr 6_pf]])</f>
        <v>7237.3498456746702</v>
      </c>
      <c r="BB65" s="25">
        <f>IF(Table1[[#This Row],[Years_Next_Rehab_Well]]=7,VLOOKUP(Table1[[#This Row],[Item_Rehab_WL]],[1]!Table2[#All],10,FALSE),0)</f>
        <v>0</v>
      </c>
      <c r="BC65" s="25">
        <f>IF(Table1[[#This Row],[Adjusted_ULife_HP]]=7,VLOOKUP(Table1[[#This Row],[Item_Handpump]],[1]!Table2[#All],10,FALSE),0)</f>
        <v>0</v>
      </c>
      <c r="BD65" s="25">
        <f>IF(Table1[[#This Row],[Adjusted_ULife_PF]]=7,VLOOKUP(Table1[[#This Row],[Item_Platform]],[1]!Table2[#All],10,FALSE),0)</f>
        <v>0</v>
      </c>
      <c r="BE65" s="25">
        <f>SUM(Table1[[#This Row],[yr 7_wl]:[yr 7_pf]])</f>
        <v>0</v>
      </c>
      <c r="BF65" s="25">
        <f>IF(Table1[[#This Row],[Years_Next_Rehab_Well]]=8,VLOOKUP(Table1[[#This Row],[Item_Rehab_WL]],[1]!Table2[#All],11,FALSE),0)</f>
        <v>0</v>
      </c>
      <c r="BG65" s="25">
        <f>IF(Table1[[#This Row],[Adjusted_ULife_HP]]=8,VLOOKUP(Table1[[#This Row],[Item_Handpump]],[1]!Table2[#All],11,FALSE),0)</f>
        <v>0</v>
      </c>
      <c r="BH65" s="25">
        <f>IF(Table1[[#This Row],[Adjusted_ULife_PF]]=8,VLOOKUP(Table1[[#This Row],[Item_Platform]],[1]!Table2[#All],11,FALSE),0)</f>
        <v>0</v>
      </c>
      <c r="BI65" s="25">
        <f>SUM(Table1[[#This Row],[yr 8_wl]:[yr 8_pf]])</f>
        <v>0</v>
      </c>
      <c r="BJ65" s="25">
        <f>IF(Table1[[#This Row],[Years_Next_Rehab_Well]]=9,VLOOKUP(Table1[[#This Row],[Item_Rehab_WL]],[1]!Table2[#All],12,FALSE),0)</f>
        <v>0</v>
      </c>
      <c r="BK65" s="25">
        <f>IF(Table1[[#This Row],[Adjusted_ULife_HP]]=9,VLOOKUP(Table1[[#This Row],[Item_Handpump]],[1]!Table2[#All],12,FALSE),0)</f>
        <v>0</v>
      </c>
      <c r="BL65" s="25">
        <f>IF(Table1[[#This Row],[Adjusted_ULife_PF]]=9,VLOOKUP(Table1[[#This Row],[Item_Platform]],[1]!Table2[#All],12,FALSE),0)</f>
        <v>4159.6181361752842</v>
      </c>
      <c r="BM65" s="25">
        <f>SUM(Table1[[#This Row],[yr 9_wl]:[yr 9_pf]])</f>
        <v>4159.6181361752842</v>
      </c>
      <c r="BN65" s="25">
        <f>IF(Table1[[#This Row],[Years_Next_Rehab_Well]]=10,VLOOKUP(Table1[[#This Row],[Item_Rehab_WL]],[1]!Table2[#All],13,FALSE),0)</f>
        <v>0</v>
      </c>
      <c r="BO65" s="25">
        <f>IF(Table1[[#This Row],[Adjusted_ULife_HP]]=10,VLOOKUP(Table1[[#This Row],[Item_Handpump]],[1]!Table2[#All],13,FALSE),0)</f>
        <v>0</v>
      </c>
      <c r="BP65" s="25">
        <f>IF(Table1[[#This Row],[Adjusted_ULife_PF]]=10,VLOOKUP(Table1[[#This Row],[Item_Platform]],[1]!Table2[#All],13,FALSE),0)</f>
        <v>0</v>
      </c>
      <c r="BQ65" s="25">
        <f>SUM(Table1[[#This Row],[yr 10_wl]:[yr 10_pf]])</f>
        <v>0</v>
      </c>
      <c r="BR65" s="25">
        <f>IF(Table1[[#This Row],[Years_Next_Rehab_Well]]=11,VLOOKUP(Table1[[#This Row],[Item_Rehab_WL]],[1]!Table2[#All],14,FALSE),0)</f>
        <v>0</v>
      </c>
      <c r="BS65" s="25">
        <f>IF(Table1[[#This Row],[Adjusted_ULife_HP]]=11,VLOOKUP(Table1[[#This Row],[Item_Handpump]],[1]!Table2[#All],14,FALSE),0)</f>
        <v>0</v>
      </c>
      <c r="BT65" s="25">
        <f>IF(Table1[[#This Row],[Adjusted_ULife_PF]]=11,VLOOKUP(Table1[[#This Row],[Item_Platform]],[1]!Table2[#All],14,FALSE),0)</f>
        <v>0</v>
      </c>
      <c r="BU65" s="25">
        <f>SUM(Table1[[#This Row],[yr 11_wl]:[yr 11_pf]])</f>
        <v>0</v>
      </c>
      <c r="BV65" s="25">
        <f>IF(Table1[[#This Row],[Years_Next_Rehab_Well]]=12,VLOOKUP(Table1[[#This Row],[Item_Rehab_WL]],[1]!Table2[#All],15,FALSE),0)</f>
        <v>0</v>
      </c>
      <c r="BW65" s="25">
        <f>IF(Table1[[#This Row],[Adjusted_ULife_HP]]=12,VLOOKUP(Table1[[#This Row],[Item_Handpump]],[1]!Table2[#All],15,FALSE),0)</f>
        <v>0</v>
      </c>
      <c r="BX65" s="25">
        <f>IF(Table1[[#This Row],[Adjusted_ULife_PF]]=12,VLOOKUP(Table1[[#This Row],[Item_Platform]],[1]!Table2[#All],15,FALSE),0)</f>
        <v>0</v>
      </c>
      <c r="BY65" s="25">
        <f>SUM(Table1[[#This Row],[yr 12_wl]:[yr 12_pf]])</f>
        <v>0</v>
      </c>
      <c r="BZ65" s="25">
        <f>IF(Table1[[#This Row],[Years_Next_Rehab_Well]]=13,VLOOKUP(Table1[[#This Row],[Item_Rehab_WL]],[1]!Table2[#All],16,FALSE),0)</f>
        <v>0</v>
      </c>
      <c r="CA65" s="25">
        <f>IF(Table1[[#This Row],[Adjusted_ULife_HP]]=13,VLOOKUP(Table1[[#This Row],[Item_Handpump]],[1]!Table2[#All],16,FALSE),0)</f>
        <v>0</v>
      </c>
      <c r="CB65" s="25">
        <f>IF(Table1[[#This Row],[Adjusted_ULife_PF]]=13,VLOOKUP(Table1[[#This Row],[Item_Platform]],[1]!Table2[#All],16,FALSE),0)</f>
        <v>0</v>
      </c>
      <c r="CC65" s="25">
        <f>SUM(Table1[[#This Row],[yr 13_wl]:[yr 13_pf]])</f>
        <v>0</v>
      </c>
      <c r="CD65" s="12"/>
    </row>
    <row r="66" spans="1:82" s="11" customFormat="1" x14ac:dyDescent="0.25">
      <c r="A66" s="11" t="str">
        <f>IF([1]Input_monitoring_data!A62="","",[1]Input_monitoring_data!A62)</f>
        <v>a770-e1d1-2e20</v>
      </c>
      <c r="B66" s="22" t="str">
        <f>[1]Input_monitoring_data!BH62</f>
        <v>Kenyasi No.2</v>
      </c>
      <c r="C66" s="22" t="str">
        <f>[1]Input_monitoring_data!BI62</f>
        <v>OLA Resettlement</v>
      </c>
      <c r="D66" s="22" t="str">
        <f>[1]Input_monitoring_data!P62</f>
        <v>6.991773081931174</v>
      </c>
      <c r="E66" s="22" t="str">
        <f>[1]Input_monitoring_data!Q62</f>
        <v>-2.4007082522313503</v>
      </c>
      <c r="F66" s="22" t="str">
        <f>[1]Input_monitoring_data!V62</f>
        <v>C.P.C Church Premises</v>
      </c>
      <c r="G66" s="23" t="str">
        <f>[1]Input_monitoring_data!U62</f>
        <v>Borehole</v>
      </c>
      <c r="H66" s="22">
        <f>[1]Input_monitoring_data!X62</f>
        <v>2012</v>
      </c>
      <c r="I66" s="21" t="str">
        <f>[1]Input_monitoring_data!AB62</f>
        <v>Borehole redevelopment</v>
      </c>
      <c r="J66" s="21">
        <f>[1]Input_monitoring_data!AC62</f>
        <v>0</v>
      </c>
      <c r="K66" s="23" t="str">
        <f>[1]Input_monitoring_data!W62</f>
        <v>AfriDev</v>
      </c>
      <c r="L66" s="22">
        <f>[1]Input_monitoring_data!X62</f>
        <v>2012</v>
      </c>
      <c r="M66" s="21">
        <f>IF([1]Input_monitoring_data!BL62&gt;'Point Sources_Asset_Register_'!L66,[1]Input_monitoring_data!BL62,"")</f>
        <v>2016</v>
      </c>
      <c r="N66" s="22" t="str">
        <f>[1]Input_monitoring_data!BQ62</f>
        <v>partially functional</v>
      </c>
      <c r="O66" s="22">
        <f>[1]Input_monitoring_data!AJ62</f>
        <v>0</v>
      </c>
      <c r="P66" s="23" t="s">
        <v>0</v>
      </c>
      <c r="Q66" s="22">
        <f>L66</f>
        <v>2012</v>
      </c>
      <c r="R66" s="21">
        <f>M66</f>
        <v>2016</v>
      </c>
      <c r="S66" s="20">
        <f>[1]Input_EUL_CRC_ERC!$B$17-Table1[[#This Row],[Year Installed_WL]]</f>
        <v>5</v>
      </c>
      <c r="T66" s="20">
        <f>[1]Input_EUL_CRC_ERC!$B$17-(IF(Table1[[#This Row],[Year Last_Rehab_WL ]]=0,Table1[[#This Row],[Year Installed_WL]],[1]Input_EUL_CRC_ERC!$B$17-Table1[[#This Row],[Year Last_Rehab_WL ]]))</f>
        <v>5</v>
      </c>
      <c r="U66" s="20">
        <f>(VLOOKUP(Table1[[#This Row],[Item_Rehab_WL]],[1]Input_EUL_CRC_ERC!$C$17:$E$27,2,FALSE)-Table1[[#This Row],[Last Rehab Age]])</f>
        <v>10</v>
      </c>
      <c r="V66" s="19">
        <f>[1]Input_EUL_CRC_ERC!$B$17-Table1[[#This Row],[Year Installed_HP]]</f>
        <v>5</v>
      </c>
      <c r="W66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66" s="19">
        <f>[1]Input_EUL_CRC_ERC!$B$17-Table1[[#This Row],[Year Installed_PF]]</f>
        <v>5</v>
      </c>
      <c r="Y66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66" s="25">
        <f>IF(Table1[[#This Row],[Years_Next_Rehab_Well]]&lt;=0,VLOOKUP(Table1[[#This Row],[Item_Rehab_WL]],[1]!Table2[#All],3,FALSE),0)</f>
        <v>0</v>
      </c>
      <c r="AA66" s="18">
        <f>IF(Table1[[#This Row],[Adjusted_ULife_HP]]&lt;=0,VLOOKUP(Table1[[#This Row],[Item_Handpump]],[1]!Table2[#All],3,FALSE),0)</f>
        <v>0</v>
      </c>
      <c r="AB66" s="18">
        <f>IF(Table1[[#This Row],[Adjusted_ULife_PF]]&lt;=0,VLOOKUP(Table1[[#This Row],[Item_Platform]],[1]!Table2[#All],3,FALSE),0)</f>
        <v>0</v>
      </c>
      <c r="AC66" s="18">
        <f>SUM(Table1[[#This Row],[current yr_wl]:[current yr_pf]])</f>
        <v>0</v>
      </c>
      <c r="AD66" s="25">
        <f>IF(Table1[[#This Row],[Years_Next_Rehab_Well]]=1,VLOOKUP(Table1[[#This Row],[Item_Rehab_WL]],[1]!Table2[#All],4,FALSE),0)</f>
        <v>0</v>
      </c>
      <c r="AE66" s="25">
        <f>IF(Table1[[#This Row],[Adjusted_ULife_HP]]=1,VLOOKUP(Table1[[#This Row],[Item_Handpump]],[1]!Table2[#All],4,FALSE),0)</f>
        <v>0</v>
      </c>
      <c r="AF66" s="25">
        <f>IF(Table1[[#This Row],[Adjusted_ULife_PF]]=1,VLOOKUP(Table1[[#This Row],[Item_Platform]],[1]!Table2[#All],4,FALSE),0)</f>
        <v>0</v>
      </c>
      <c r="AG66" s="25">
        <f>SUM(Table1[[#This Row],[yr 1_wl]:[yr 1_pf]])</f>
        <v>0</v>
      </c>
      <c r="AH66" s="25">
        <f>IF(Table1[[#This Row],[Years_Next_Rehab_Well]]=2,VLOOKUP(Table1[[#This Row],[Item_Rehab_WL]],[1]!Table2[#All],5,FALSE),0)</f>
        <v>0</v>
      </c>
      <c r="AI66" s="25">
        <f>IF(Table1[[#This Row],[Adjusted_ULife_HP]]=2,VLOOKUP(Table1[[#This Row],[Item_Handpump]],[1]!Table2[#All],5,FALSE),0)</f>
        <v>0</v>
      </c>
      <c r="AJ66" s="25">
        <f>IF(Table1[[#This Row],[Adjusted_ULife_PF]]=2,VLOOKUP(Table1[[#This Row],[Item_Platform]],[1]!Table2[#All],5,FALSE),0)</f>
        <v>0</v>
      </c>
      <c r="AK66" s="25">
        <f>SUM(Table1[[#This Row],[yr 2_wl]:[yr 2_pf]])</f>
        <v>0</v>
      </c>
      <c r="AL66" s="25">
        <f>IF(Table1[[#This Row],[Years_Next_Rehab_Well]]=3,VLOOKUP(Table1[[#This Row],[Item_Rehab_WL]],[1]!Table2[#All],6,FALSE),0)</f>
        <v>0</v>
      </c>
      <c r="AM66" s="25">
        <f>IF(Table1[[#This Row],[Adjusted_ULife_HP]]=3,VLOOKUP(Table1[[#This Row],[Item_Handpump]],[1]!Table2[#All],6,FALSE),0)</f>
        <v>0</v>
      </c>
      <c r="AN66" s="25">
        <f>IF(Table1[[#This Row],[Adjusted_ULife_PF]]=3,VLOOKUP(Table1[[#This Row],[Item_Platform]],[1]!Table2[#All],6,FALSE),0)</f>
        <v>0</v>
      </c>
      <c r="AO66" s="25">
        <f>SUM(Table1[[#This Row],[yr 3_wl]:[yr 3_pf]])</f>
        <v>0</v>
      </c>
      <c r="AP66" s="25">
        <f>IF(Table1[[#This Row],[Years_Next_Rehab_Well]]=4,VLOOKUP(Table1[[#This Row],[Item_Rehab_WL]],[1]!Table2[#All],7,FALSE),0)</f>
        <v>0</v>
      </c>
      <c r="AQ66" s="25">
        <f>IF(Table1[[#This Row],[Adjusted_ULife_HP]]=4,VLOOKUP(Table1[[#This Row],[Item_Handpump]],[1]!Table2[#All],7,FALSE),0)</f>
        <v>0</v>
      </c>
      <c r="AR66" s="25">
        <f>IF(Table1[[#This Row],[Adjusted_ULife_PF]]=4,VLOOKUP(Table1[[#This Row],[Item_Platform]],[1]!Table2[#All],7,FALSE),0)</f>
        <v>0</v>
      </c>
      <c r="AS66" s="25">
        <f>SUM(Table1[[#This Row],[yr 4_wl]:[yr 4_pf]])</f>
        <v>0</v>
      </c>
      <c r="AT66" s="25">
        <f>IF(Table1[[#This Row],[Years_Next_Rehab_Well]]=5,VLOOKUP(Table1[[#This Row],[Item_Rehab_WL]],[1]!Table2[#All],8,FALSE),0)</f>
        <v>0</v>
      </c>
      <c r="AU66" s="25">
        <f>IF(Table1[[#This Row],[Adjusted_ULife_HP]]=5,VLOOKUP(Table1[[#This Row],[Item_Handpump]],[1]!Table2[#All],8,FALSE),0)</f>
        <v>0</v>
      </c>
      <c r="AV66" s="25">
        <f>IF(Table1[[#This Row],[Adjusted_ULife_PF]]=5,VLOOKUP(Table1[[#This Row],[Item_Platform]],[1]!Table2[#All],8,FALSE),0)</f>
        <v>0</v>
      </c>
      <c r="AW66" s="25">
        <f>SUM(Table1[[#This Row],[yr 5_wl]:[yr 5_pf]])</f>
        <v>0</v>
      </c>
      <c r="AX66" s="25">
        <f>IF(Table1[[#This Row],[Years_Next_Rehab_Well]]=6,VLOOKUP(Table1[[#This Row],[Item_Rehab_WL]],[1]!Table2[#All],9,FALSE),0)</f>
        <v>0</v>
      </c>
      <c r="AY66" s="25">
        <f>IF(Table1[[#This Row],[Adjusted_ULife_HP]]=6,VLOOKUP(Table1[[#This Row],[Item_Handpump]],[1]!Table2[#All],9,FALSE),0)</f>
        <v>0</v>
      </c>
      <c r="AZ66" s="25">
        <f>IF(Table1[[#This Row],[Adjusted_ULife_PF]]=6,VLOOKUP(Table1[[#This Row],[Item_Platform]],[1]!Table2[#All],9,FALSE),0)</f>
        <v>0</v>
      </c>
      <c r="BA66" s="25">
        <f>SUM(Table1[[#This Row],[yr 6_wl]:[yr 6_pf]])</f>
        <v>0</v>
      </c>
      <c r="BB66" s="25">
        <f>IF(Table1[[#This Row],[Years_Next_Rehab_Well]]=7,VLOOKUP(Table1[[#This Row],[Item_Rehab_WL]],[1]!Table2[#All],10,FALSE),0)</f>
        <v>0</v>
      </c>
      <c r="BC66" s="25">
        <f>IF(Table1[[#This Row],[Adjusted_ULife_HP]]=7,VLOOKUP(Table1[[#This Row],[Item_Handpump]],[1]!Table2[#All],10,FALSE),0)</f>
        <v>0</v>
      </c>
      <c r="BD66" s="25">
        <f>IF(Table1[[#This Row],[Adjusted_ULife_PF]]=7,VLOOKUP(Table1[[#This Row],[Item_Platform]],[1]!Table2[#All],10,FALSE),0)</f>
        <v>0</v>
      </c>
      <c r="BE66" s="25">
        <f>SUM(Table1[[#This Row],[yr 7_wl]:[yr 7_pf]])</f>
        <v>0</v>
      </c>
      <c r="BF66" s="25">
        <f>IF(Table1[[#This Row],[Years_Next_Rehab_Well]]=8,VLOOKUP(Table1[[#This Row],[Item_Rehab_WL]],[1]!Table2[#All],11,FALSE),0)</f>
        <v>0</v>
      </c>
      <c r="BG66" s="25">
        <f>IF(Table1[[#This Row],[Adjusted_ULife_HP]]=8,VLOOKUP(Table1[[#This Row],[Item_Handpump]],[1]!Table2[#All],11,FALSE),0)</f>
        <v>0</v>
      </c>
      <c r="BH66" s="25">
        <f>IF(Table1[[#This Row],[Adjusted_ULife_PF]]=8,VLOOKUP(Table1[[#This Row],[Item_Platform]],[1]!Table2[#All],11,FALSE),0)</f>
        <v>0</v>
      </c>
      <c r="BI66" s="25">
        <f>SUM(Table1[[#This Row],[yr 8_wl]:[yr 8_pf]])</f>
        <v>0</v>
      </c>
      <c r="BJ66" s="25">
        <f>IF(Table1[[#This Row],[Years_Next_Rehab_Well]]=9,VLOOKUP(Table1[[#This Row],[Item_Rehab_WL]],[1]!Table2[#All],12,FALSE),0)</f>
        <v>0</v>
      </c>
      <c r="BK66" s="25">
        <f>IF(Table1[[#This Row],[Adjusted_ULife_HP]]=9,VLOOKUP(Table1[[#This Row],[Item_Handpump]],[1]!Table2[#All],12,FALSE),0)</f>
        <v>0</v>
      </c>
      <c r="BL66" s="25">
        <f>IF(Table1[[#This Row],[Adjusted_ULife_PF]]=9,VLOOKUP(Table1[[#This Row],[Item_Platform]],[1]!Table2[#All],12,FALSE),0)</f>
        <v>4159.6181361752842</v>
      </c>
      <c r="BM66" s="25">
        <f>SUM(Table1[[#This Row],[yr 9_wl]:[yr 9_pf]])</f>
        <v>4159.6181361752842</v>
      </c>
      <c r="BN66" s="25">
        <f>IF(Table1[[#This Row],[Years_Next_Rehab_Well]]=10,VLOOKUP(Table1[[#This Row],[Item_Rehab_WL]],[1]!Table2[#All],13,FALSE),0)</f>
        <v>11388.110097262112</v>
      </c>
      <c r="BO66" s="25">
        <f>IF(Table1[[#This Row],[Adjusted_ULife_HP]]=10,VLOOKUP(Table1[[#This Row],[Item_Handpump]],[1]!Table2[#All],13,FALSE),0)</f>
        <v>0</v>
      </c>
      <c r="BP66" s="25">
        <f>IF(Table1[[#This Row],[Adjusted_ULife_PF]]=10,VLOOKUP(Table1[[#This Row],[Item_Platform]],[1]!Table2[#All],13,FALSE),0)</f>
        <v>0</v>
      </c>
      <c r="BQ66" s="25">
        <f>SUM(Table1[[#This Row],[yr 10_wl]:[yr 10_pf]])</f>
        <v>11388.110097262112</v>
      </c>
      <c r="BR66" s="25">
        <f>IF(Table1[[#This Row],[Years_Next_Rehab_Well]]=11,VLOOKUP(Table1[[#This Row],[Item_Rehab_WL]],[1]!Table2[#All],14,FALSE),0)</f>
        <v>0</v>
      </c>
      <c r="BS66" s="25">
        <f>IF(Table1[[#This Row],[Adjusted_ULife_HP]]=11,VLOOKUP(Table1[[#This Row],[Item_Handpump]],[1]!Table2[#All],14,FALSE),0)</f>
        <v>0</v>
      </c>
      <c r="BT66" s="25">
        <f>IF(Table1[[#This Row],[Adjusted_ULife_PF]]=11,VLOOKUP(Table1[[#This Row],[Item_Platform]],[1]!Table2[#All],14,FALSE),0)</f>
        <v>0</v>
      </c>
      <c r="BU66" s="25">
        <f>SUM(Table1[[#This Row],[yr 11_wl]:[yr 11_pf]])</f>
        <v>0</v>
      </c>
      <c r="BV66" s="25">
        <f>IF(Table1[[#This Row],[Years_Next_Rehab_Well]]=12,VLOOKUP(Table1[[#This Row],[Item_Rehab_WL]],[1]!Table2[#All],15,FALSE),0)</f>
        <v>0</v>
      </c>
      <c r="BW66" s="25">
        <f>IF(Table1[[#This Row],[Adjusted_ULife_HP]]=12,VLOOKUP(Table1[[#This Row],[Item_Handpump]],[1]!Table2[#All],15,FALSE),0)</f>
        <v>0</v>
      </c>
      <c r="BX66" s="25">
        <f>IF(Table1[[#This Row],[Adjusted_ULife_PF]]=12,VLOOKUP(Table1[[#This Row],[Item_Platform]],[1]!Table2[#All],15,FALSE),0)</f>
        <v>0</v>
      </c>
      <c r="BY66" s="25">
        <f>SUM(Table1[[#This Row],[yr 12_wl]:[yr 12_pf]])</f>
        <v>0</v>
      </c>
      <c r="BZ66" s="25">
        <f>IF(Table1[[#This Row],[Years_Next_Rehab_Well]]=13,VLOOKUP(Table1[[#This Row],[Item_Rehab_WL]],[1]!Table2[#All],16,FALSE),0)</f>
        <v>0</v>
      </c>
      <c r="CA66" s="25">
        <f>IF(Table1[[#This Row],[Adjusted_ULife_HP]]=13,VLOOKUP(Table1[[#This Row],[Item_Handpump]],[1]!Table2[#All],16,FALSE),0)</f>
        <v>0</v>
      </c>
      <c r="CB66" s="25">
        <f>IF(Table1[[#This Row],[Adjusted_ULife_PF]]=13,VLOOKUP(Table1[[#This Row],[Item_Platform]],[1]!Table2[#All],16,FALSE),0)</f>
        <v>0</v>
      </c>
      <c r="CC66" s="25">
        <f>SUM(Table1[[#This Row],[yr 13_wl]:[yr 13_pf]])</f>
        <v>0</v>
      </c>
      <c r="CD66" s="12"/>
    </row>
    <row r="67" spans="1:82" s="11" customFormat="1" x14ac:dyDescent="0.25">
      <c r="A67" s="11" t="str">
        <f>IF([1]Input_monitoring_data!A63="","",[1]Input_monitoring_data!A63)</f>
        <v>af7e-w01r-0p6p</v>
      </c>
      <c r="B67" s="22" t="str">
        <f>[1]Input_monitoring_data!BH63</f>
        <v>Kenyasi No.2</v>
      </c>
      <c r="C67" s="22" t="str">
        <f>[1]Input_monitoring_data!BI63</f>
        <v>Agyemangkrom</v>
      </c>
      <c r="D67" s="22" t="str">
        <f>[1]Input_monitoring_data!P63</f>
        <v>7.060799005601928</v>
      </c>
      <c r="E67" s="22" t="str">
        <f>[1]Input_monitoring_data!Q63</f>
        <v>-2.4036810173675347</v>
      </c>
      <c r="F67" s="22" t="str">
        <f>[1]Input_monitoring_data!V63</f>
        <v>Infront Of Opanin Agyemang's House</v>
      </c>
      <c r="G67" s="23" t="str">
        <f>[1]Input_monitoring_data!U63</f>
        <v>Borehole</v>
      </c>
      <c r="H67" s="22">
        <f>[1]Input_monitoring_data!X63</f>
        <v>2006</v>
      </c>
      <c r="I67" s="21" t="str">
        <f>[1]Input_monitoring_data!AB63</f>
        <v>Borehole redevelopment</v>
      </c>
      <c r="J67" s="21">
        <f>[1]Input_monitoring_data!AC63</f>
        <v>0</v>
      </c>
      <c r="K67" s="23" t="str">
        <f>[1]Input_monitoring_data!W63</f>
        <v>AfriDev</v>
      </c>
      <c r="L67" s="22">
        <f>[1]Input_monitoring_data!X63</f>
        <v>2006</v>
      </c>
      <c r="M67" s="21">
        <f>IF([1]Input_monitoring_data!BL63&gt;'Point Sources_Asset_Register_'!L67,[1]Input_monitoring_data!BL63,"")</f>
        <v>2016</v>
      </c>
      <c r="N67" s="22" t="str">
        <f>[1]Input_monitoring_data!BQ63</f>
        <v>partially functional</v>
      </c>
      <c r="O67" s="22">
        <f>[1]Input_monitoring_data!AJ63</f>
        <v>0</v>
      </c>
      <c r="P67" s="23" t="s">
        <v>0</v>
      </c>
      <c r="Q67" s="22">
        <f>L67</f>
        <v>2006</v>
      </c>
      <c r="R67" s="21">
        <f>M67</f>
        <v>2016</v>
      </c>
      <c r="S67" s="20">
        <f>[1]Input_EUL_CRC_ERC!$B$17-Table1[[#This Row],[Year Installed_WL]]</f>
        <v>11</v>
      </c>
      <c r="T67" s="20">
        <f>[1]Input_EUL_CRC_ERC!$B$17-(IF(Table1[[#This Row],[Year Last_Rehab_WL ]]=0,Table1[[#This Row],[Year Installed_WL]],[1]Input_EUL_CRC_ERC!$B$17-Table1[[#This Row],[Year Last_Rehab_WL ]]))</f>
        <v>11</v>
      </c>
      <c r="U67" s="20">
        <f>(VLOOKUP(Table1[[#This Row],[Item_Rehab_WL]],[1]Input_EUL_CRC_ERC!$C$17:$E$27,2,FALSE)-Table1[[#This Row],[Last Rehab Age]])</f>
        <v>4</v>
      </c>
      <c r="V67" s="19">
        <f>[1]Input_EUL_CRC_ERC!$B$17-Table1[[#This Row],[Year Installed_HP]]</f>
        <v>11</v>
      </c>
      <c r="W67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67" s="19">
        <f>[1]Input_EUL_CRC_ERC!$B$17-Table1[[#This Row],[Year Installed_PF]]</f>
        <v>11</v>
      </c>
      <c r="Y67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67" s="25">
        <f>IF(Table1[[#This Row],[Years_Next_Rehab_Well]]&lt;=0,VLOOKUP(Table1[[#This Row],[Item_Rehab_WL]],[1]!Table2[#All],3,FALSE),0)</f>
        <v>0</v>
      </c>
      <c r="AA67" s="18">
        <f>IF(Table1[[#This Row],[Adjusted_ULife_HP]]&lt;=0,VLOOKUP(Table1[[#This Row],[Item_Handpump]],[1]!Table2[#All],3,FALSE),0)</f>
        <v>0</v>
      </c>
      <c r="AB67" s="18">
        <f>IF(Table1[[#This Row],[Adjusted_ULife_PF]]&lt;=0,VLOOKUP(Table1[[#This Row],[Item_Platform]],[1]!Table2[#All],3,FALSE),0)</f>
        <v>0</v>
      </c>
      <c r="AC67" s="18">
        <f>SUM(Table1[[#This Row],[current yr_wl]:[current yr_pf]])</f>
        <v>0</v>
      </c>
      <c r="AD67" s="25">
        <f>IF(Table1[[#This Row],[Years_Next_Rehab_Well]]=1,VLOOKUP(Table1[[#This Row],[Item_Rehab_WL]],[1]!Table2[#All],4,FALSE),0)</f>
        <v>0</v>
      </c>
      <c r="AE67" s="25">
        <f>IF(Table1[[#This Row],[Adjusted_ULife_HP]]=1,VLOOKUP(Table1[[#This Row],[Item_Handpump]],[1]!Table2[#All],4,FALSE),0)</f>
        <v>0</v>
      </c>
      <c r="AF67" s="25">
        <f>IF(Table1[[#This Row],[Adjusted_ULife_PF]]=1,VLOOKUP(Table1[[#This Row],[Item_Platform]],[1]!Table2[#All],4,FALSE),0)</f>
        <v>0</v>
      </c>
      <c r="AG67" s="25">
        <f>SUM(Table1[[#This Row],[yr 1_wl]:[yr 1_pf]])</f>
        <v>0</v>
      </c>
      <c r="AH67" s="25">
        <f>IF(Table1[[#This Row],[Years_Next_Rehab_Well]]=2,VLOOKUP(Table1[[#This Row],[Item_Rehab_WL]],[1]!Table2[#All],5,FALSE),0)</f>
        <v>0</v>
      </c>
      <c r="AI67" s="25">
        <f>IF(Table1[[#This Row],[Adjusted_ULife_HP]]=2,VLOOKUP(Table1[[#This Row],[Item_Handpump]],[1]!Table2[#All],5,FALSE),0)</f>
        <v>0</v>
      </c>
      <c r="AJ67" s="25">
        <f>IF(Table1[[#This Row],[Adjusted_ULife_PF]]=2,VLOOKUP(Table1[[#This Row],[Item_Platform]],[1]!Table2[#All],5,FALSE),0)</f>
        <v>0</v>
      </c>
      <c r="AK67" s="25">
        <f>SUM(Table1[[#This Row],[yr 2_wl]:[yr 2_pf]])</f>
        <v>0</v>
      </c>
      <c r="AL67" s="25">
        <f>IF(Table1[[#This Row],[Years_Next_Rehab_Well]]=3,VLOOKUP(Table1[[#This Row],[Item_Rehab_WL]],[1]!Table2[#All],6,FALSE),0)</f>
        <v>0</v>
      </c>
      <c r="AM67" s="25">
        <f>IF(Table1[[#This Row],[Adjusted_ULife_HP]]=3,VLOOKUP(Table1[[#This Row],[Item_Handpump]],[1]!Table2[#All],6,FALSE),0)</f>
        <v>0</v>
      </c>
      <c r="AN67" s="25">
        <f>IF(Table1[[#This Row],[Adjusted_ULife_PF]]=3,VLOOKUP(Table1[[#This Row],[Item_Platform]],[1]!Table2[#All],6,FALSE),0)</f>
        <v>0</v>
      </c>
      <c r="AO67" s="25">
        <f>SUM(Table1[[#This Row],[yr 3_wl]:[yr 3_pf]])</f>
        <v>0</v>
      </c>
      <c r="AP67" s="25">
        <f>IF(Table1[[#This Row],[Years_Next_Rehab_Well]]=4,VLOOKUP(Table1[[#This Row],[Item_Rehab_WL]],[1]!Table2[#All],7,FALSE),0)</f>
        <v>5769.5709866666684</v>
      </c>
      <c r="AQ67" s="25">
        <f>IF(Table1[[#This Row],[Adjusted_ULife_HP]]=4,VLOOKUP(Table1[[#This Row],[Item_Handpump]],[1]!Table2[#All],7,FALSE),0)</f>
        <v>0</v>
      </c>
      <c r="AR67" s="25">
        <f>IF(Table1[[#This Row],[Adjusted_ULife_PF]]=4,VLOOKUP(Table1[[#This Row],[Item_Platform]],[1]!Table2[#All],7,FALSE),0)</f>
        <v>0</v>
      </c>
      <c r="AS67" s="25">
        <f>SUM(Table1[[#This Row],[yr 4_wl]:[yr 4_pf]])</f>
        <v>5769.5709866666684</v>
      </c>
      <c r="AT67" s="25">
        <f>IF(Table1[[#This Row],[Years_Next_Rehab_Well]]=5,VLOOKUP(Table1[[#This Row],[Item_Rehab_WL]],[1]!Table2[#All],8,FALSE),0)</f>
        <v>0</v>
      </c>
      <c r="AU67" s="25">
        <f>IF(Table1[[#This Row],[Adjusted_ULife_HP]]=5,VLOOKUP(Table1[[#This Row],[Item_Handpump]],[1]!Table2[#All],8,FALSE),0)</f>
        <v>0</v>
      </c>
      <c r="AV67" s="25">
        <f>IF(Table1[[#This Row],[Adjusted_ULife_PF]]=5,VLOOKUP(Table1[[#This Row],[Item_Platform]],[1]!Table2[#All],8,FALSE),0)</f>
        <v>0</v>
      </c>
      <c r="AW67" s="25">
        <f>SUM(Table1[[#This Row],[yr 5_wl]:[yr 5_pf]])</f>
        <v>0</v>
      </c>
      <c r="AX67" s="25">
        <f>IF(Table1[[#This Row],[Years_Next_Rehab_Well]]=6,VLOOKUP(Table1[[#This Row],[Item_Rehab_WL]],[1]!Table2[#All],9,FALSE),0)</f>
        <v>0</v>
      </c>
      <c r="AY67" s="25">
        <f>IF(Table1[[#This Row],[Adjusted_ULife_HP]]=6,VLOOKUP(Table1[[#This Row],[Item_Handpump]],[1]!Table2[#All],9,FALSE),0)</f>
        <v>0</v>
      </c>
      <c r="AZ67" s="25">
        <f>IF(Table1[[#This Row],[Adjusted_ULife_PF]]=6,VLOOKUP(Table1[[#This Row],[Item_Platform]],[1]!Table2[#All],9,FALSE),0)</f>
        <v>0</v>
      </c>
      <c r="BA67" s="25">
        <f>SUM(Table1[[#This Row],[yr 6_wl]:[yr 6_pf]])</f>
        <v>0</v>
      </c>
      <c r="BB67" s="25">
        <f>IF(Table1[[#This Row],[Years_Next_Rehab_Well]]=7,VLOOKUP(Table1[[#This Row],[Item_Rehab_WL]],[1]!Table2[#All],10,FALSE),0)</f>
        <v>0</v>
      </c>
      <c r="BC67" s="25">
        <f>IF(Table1[[#This Row],[Adjusted_ULife_HP]]=7,VLOOKUP(Table1[[#This Row],[Item_Handpump]],[1]!Table2[#All],10,FALSE),0)</f>
        <v>0</v>
      </c>
      <c r="BD67" s="25">
        <f>IF(Table1[[#This Row],[Adjusted_ULife_PF]]=7,VLOOKUP(Table1[[#This Row],[Item_Platform]],[1]!Table2[#All],10,FALSE),0)</f>
        <v>0</v>
      </c>
      <c r="BE67" s="25">
        <f>SUM(Table1[[#This Row],[yr 7_wl]:[yr 7_pf]])</f>
        <v>0</v>
      </c>
      <c r="BF67" s="25">
        <f>IF(Table1[[#This Row],[Years_Next_Rehab_Well]]=8,VLOOKUP(Table1[[#This Row],[Item_Rehab_WL]],[1]!Table2[#All],11,FALSE),0)</f>
        <v>0</v>
      </c>
      <c r="BG67" s="25">
        <f>IF(Table1[[#This Row],[Adjusted_ULife_HP]]=8,VLOOKUP(Table1[[#This Row],[Item_Handpump]],[1]!Table2[#All],11,FALSE),0)</f>
        <v>0</v>
      </c>
      <c r="BH67" s="25">
        <f>IF(Table1[[#This Row],[Adjusted_ULife_PF]]=8,VLOOKUP(Table1[[#This Row],[Item_Platform]],[1]!Table2[#All],11,FALSE),0)</f>
        <v>0</v>
      </c>
      <c r="BI67" s="25">
        <f>SUM(Table1[[#This Row],[yr 8_wl]:[yr 8_pf]])</f>
        <v>0</v>
      </c>
      <c r="BJ67" s="25">
        <f>IF(Table1[[#This Row],[Years_Next_Rehab_Well]]=9,VLOOKUP(Table1[[#This Row],[Item_Rehab_WL]],[1]!Table2[#All],12,FALSE),0)</f>
        <v>0</v>
      </c>
      <c r="BK67" s="25">
        <f>IF(Table1[[#This Row],[Adjusted_ULife_HP]]=9,VLOOKUP(Table1[[#This Row],[Item_Handpump]],[1]!Table2[#All],12,FALSE),0)</f>
        <v>0</v>
      </c>
      <c r="BL67" s="25">
        <f>IF(Table1[[#This Row],[Adjusted_ULife_PF]]=9,VLOOKUP(Table1[[#This Row],[Item_Platform]],[1]!Table2[#All],12,FALSE),0)</f>
        <v>4159.6181361752842</v>
      </c>
      <c r="BM67" s="25">
        <f>SUM(Table1[[#This Row],[yr 9_wl]:[yr 9_pf]])</f>
        <v>4159.6181361752842</v>
      </c>
      <c r="BN67" s="25">
        <f>IF(Table1[[#This Row],[Years_Next_Rehab_Well]]=10,VLOOKUP(Table1[[#This Row],[Item_Rehab_WL]],[1]!Table2[#All],13,FALSE),0)</f>
        <v>0</v>
      </c>
      <c r="BO67" s="25">
        <f>IF(Table1[[#This Row],[Adjusted_ULife_HP]]=10,VLOOKUP(Table1[[#This Row],[Item_Handpump]],[1]!Table2[#All],13,FALSE),0)</f>
        <v>0</v>
      </c>
      <c r="BP67" s="25">
        <f>IF(Table1[[#This Row],[Adjusted_ULife_PF]]=10,VLOOKUP(Table1[[#This Row],[Item_Platform]],[1]!Table2[#All],13,FALSE),0)</f>
        <v>0</v>
      </c>
      <c r="BQ67" s="25">
        <f>SUM(Table1[[#This Row],[yr 10_wl]:[yr 10_pf]])</f>
        <v>0</v>
      </c>
      <c r="BR67" s="25">
        <f>IF(Table1[[#This Row],[Years_Next_Rehab_Well]]=11,VLOOKUP(Table1[[#This Row],[Item_Rehab_WL]],[1]!Table2[#All],14,FALSE),0)</f>
        <v>0</v>
      </c>
      <c r="BS67" s="25">
        <f>IF(Table1[[#This Row],[Adjusted_ULife_HP]]=11,VLOOKUP(Table1[[#This Row],[Item_Handpump]],[1]!Table2[#All],14,FALSE),0)</f>
        <v>0</v>
      </c>
      <c r="BT67" s="25">
        <f>IF(Table1[[#This Row],[Adjusted_ULife_PF]]=11,VLOOKUP(Table1[[#This Row],[Item_Platform]],[1]!Table2[#All],14,FALSE),0)</f>
        <v>0</v>
      </c>
      <c r="BU67" s="25">
        <f>SUM(Table1[[#This Row],[yr 11_wl]:[yr 11_pf]])</f>
        <v>0</v>
      </c>
      <c r="BV67" s="25">
        <f>IF(Table1[[#This Row],[Years_Next_Rehab_Well]]=12,VLOOKUP(Table1[[#This Row],[Item_Rehab_WL]],[1]!Table2[#All],15,FALSE),0)</f>
        <v>0</v>
      </c>
      <c r="BW67" s="25">
        <f>IF(Table1[[#This Row],[Adjusted_ULife_HP]]=12,VLOOKUP(Table1[[#This Row],[Item_Handpump]],[1]!Table2[#All],15,FALSE),0)</f>
        <v>0</v>
      </c>
      <c r="BX67" s="25">
        <f>IF(Table1[[#This Row],[Adjusted_ULife_PF]]=12,VLOOKUP(Table1[[#This Row],[Item_Platform]],[1]!Table2[#All],15,FALSE),0)</f>
        <v>0</v>
      </c>
      <c r="BY67" s="25">
        <f>SUM(Table1[[#This Row],[yr 12_wl]:[yr 12_pf]])</f>
        <v>0</v>
      </c>
      <c r="BZ67" s="25">
        <f>IF(Table1[[#This Row],[Years_Next_Rehab_Well]]=13,VLOOKUP(Table1[[#This Row],[Item_Rehab_WL]],[1]!Table2[#All],16,FALSE),0)</f>
        <v>0</v>
      </c>
      <c r="CA67" s="25">
        <f>IF(Table1[[#This Row],[Adjusted_ULife_HP]]=13,VLOOKUP(Table1[[#This Row],[Item_Handpump]],[1]!Table2[#All],16,FALSE),0)</f>
        <v>0</v>
      </c>
      <c r="CB67" s="25">
        <f>IF(Table1[[#This Row],[Adjusted_ULife_PF]]=13,VLOOKUP(Table1[[#This Row],[Item_Platform]],[1]!Table2[#All],16,FALSE),0)</f>
        <v>0</v>
      </c>
      <c r="CC67" s="25">
        <f>SUM(Table1[[#This Row],[yr 13_wl]:[yr 13_pf]])</f>
        <v>0</v>
      </c>
      <c r="CD67" s="12"/>
    </row>
    <row r="68" spans="1:82" s="11" customFormat="1" x14ac:dyDescent="0.25">
      <c r="A68" s="11" t="str">
        <f>IF([1]Input_monitoring_data!A64="","",[1]Input_monitoring_data!A64)</f>
        <v>aqfu-4k8k-s08c</v>
      </c>
      <c r="B68" s="22" t="str">
        <f>[1]Input_monitoring_data!BH64</f>
        <v>Gambia</v>
      </c>
      <c r="C68" s="22" t="str">
        <f>[1]Input_monitoring_data!BI64</f>
        <v>Kojo Nkrumah</v>
      </c>
      <c r="D68" s="22" t="str">
        <f>[1]Input_monitoring_data!P64</f>
        <v>7.031574463902342</v>
      </c>
      <c r="E68" s="22" t="str">
        <f>[1]Input_monitoring_data!Q64</f>
        <v>-2.748036230292769</v>
      </c>
      <c r="F68" s="22" t="str">
        <f>[1]Input_monitoring_data!V64</f>
        <v>Near Akwatuo Junction</v>
      </c>
      <c r="G68" s="23" t="str">
        <f>[1]Input_monitoring_data!U64</f>
        <v>Borehole</v>
      </c>
      <c r="H68" s="22">
        <f>[1]Input_monitoring_data!X64</f>
        <v>2002</v>
      </c>
      <c r="I68" s="21" t="str">
        <f>[1]Input_monitoring_data!AB64</f>
        <v>Borehole redevelopment</v>
      </c>
      <c r="J68" s="21">
        <f>[1]Input_monitoring_data!AC64</f>
        <v>0</v>
      </c>
      <c r="K68" s="23" t="str">
        <f>[1]Input_monitoring_data!W64</f>
        <v>AfriDev</v>
      </c>
      <c r="L68" s="22">
        <f>[1]Input_monitoring_data!X64</f>
        <v>2002</v>
      </c>
      <c r="M68" s="21">
        <f>IF([1]Input_monitoring_data!BL64&gt;'Point Sources_Asset_Register_'!L68,[1]Input_monitoring_data!BL64,"")</f>
        <v>2014</v>
      </c>
      <c r="N68" s="22" t="str">
        <f>[1]Input_monitoring_data!BQ64</f>
        <v>functional</v>
      </c>
      <c r="O68" s="22">
        <f>[1]Input_monitoring_data!AJ64</f>
        <v>0</v>
      </c>
      <c r="P68" s="23" t="s">
        <v>0</v>
      </c>
      <c r="Q68" s="22">
        <f>L68</f>
        <v>2002</v>
      </c>
      <c r="R68" s="21">
        <f>M68</f>
        <v>2014</v>
      </c>
      <c r="S68" s="20">
        <f>[1]Input_EUL_CRC_ERC!$B$17-Table1[[#This Row],[Year Installed_WL]]</f>
        <v>15</v>
      </c>
      <c r="T68" s="20">
        <f>[1]Input_EUL_CRC_ERC!$B$17-(IF(Table1[[#This Row],[Year Last_Rehab_WL ]]=0,Table1[[#This Row],[Year Installed_WL]],[1]Input_EUL_CRC_ERC!$B$17-Table1[[#This Row],[Year Last_Rehab_WL ]]))</f>
        <v>15</v>
      </c>
      <c r="U68" s="20">
        <f>(VLOOKUP(Table1[[#This Row],[Item_Rehab_WL]],[1]Input_EUL_CRC_ERC!$C$17:$E$27,2,FALSE)-Table1[[#This Row],[Last Rehab Age]])</f>
        <v>0</v>
      </c>
      <c r="V68" s="26">
        <f>[1]Input_EUL_CRC_ERC!$B$17-Table1[[#This Row],[Year Installed_HP]]</f>
        <v>15</v>
      </c>
      <c r="W68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68" s="26">
        <f>[1]Input_EUL_CRC_ERC!$B$17-Table1[[#This Row],[Year Installed_PF]]</f>
        <v>15</v>
      </c>
      <c r="Y68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68" s="25">
        <f>IF(Table1[[#This Row],[Years_Next_Rehab_Well]]&lt;=0,VLOOKUP(Table1[[#This Row],[Item_Rehab_WL]],[1]!Table2[#All],3,FALSE),0)</f>
        <v>3666.6666666666665</v>
      </c>
      <c r="AA68" s="25">
        <f>IF(Table1[[#This Row],[Adjusted_ULife_HP]]&lt;=0,VLOOKUP(Table1[[#This Row],[Item_Handpump]],[1]!Table2[#All],3,FALSE),0)</f>
        <v>0</v>
      </c>
      <c r="AB68" s="25">
        <f>IF(Table1[[#This Row],[Adjusted_ULife_PF]]&lt;=0,VLOOKUP(Table1[[#This Row],[Item_Platform]],[1]!Table2[#All],3,FALSE),0)</f>
        <v>0</v>
      </c>
      <c r="AC68" s="25">
        <f>SUM(Table1[[#This Row],[current yr_wl]:[current yr_pf]])</f>
        <v>3666.6666666666665</v>
      </c>
      <c r="AD68" s="25">
        <f>IF(Table1[[#This Row],[Years_Next_Rehab_Well]]=1,VLOOKUP(Table1[[#This Row],[Item_Rehab_WL]],[1]!Table2[#All],4,FALSE),0)</f>
        <v>0</v>
      </c>
      <c r="AE68" s="25">
        <f>IF(Table1[[#This Row],[Adjusted_ULife_HP]]=1,VLOOKUP(Table1[[#This Row],[Item_Handpump]],[1]!Table2[#All],4,FALSE),0)</f>
        <v>0</v>
      </c>
      <c r="AF68" s="25">
        <f>IF(Table1[[#This Row],[Adjusted_ULife_PF]]=1,VLOOKUP(Table1[[#This Row],[Item_Platform]],[1]!Table2[#All],4,FALSE),0)</f>
        <v>0</v>
      </c>
      <c r="AG68" s="25">
        <f>SUM(Table1[[#This Row],[yr 1_wl]:[yr 1_pf]])</f>
        <v>0</v>
      </c>
      <c r="AH68" s="25">
        <f>IF(Table1[[#This Row],[Years_Next_Rehab_Well]]=2,VLOOKUP(Table1[[#This Row],[Item_Rehab_WL]],[1]!Table2[#All],5,FALSE),0)</f>
        <v>0</v>
      </c>
      <c r="AI68" s="25">
        <f>IF(Table1[[#This Row],[Adjusted_ULife_HP]]=2,VLOOKUP(Table1[[#This Row],[Item_Handpump]],[1]!Table2[#All],5,FALSE),0)</f>
        <v>0</v>
      </c>
      <c r="AJ68" s="25">
        <f>IF(Table1[[#This Row],[Adjusted_ULife_PF]]=2,VLOOKUP(Table1[[#This Row],[Item_Platform]],[1]!Table2[#All],5,FALSE),0)</f>
        <v>0</v>
      </c>
      <c r="AK68" s="25">
        <f>SUM(Table1[[#This Row],[yr 2_wl]:[yr 2_pf]])</f>
        <v>0</v>
      </c>
      <c r="AL68" s="25">
        <f>IF(Table1[[#This Row],[Years_Next_Rehab_Well]]=3,VLOOKUP(Table1[[#This Row],[Item_Rehab_WL]],[1]!Table2[#All],6,FALSE),0)</f>
        <v>0</v>
      </c>
      <c r="AM68" s="25">
        <f>IF(Table1[[#This Row],[Adjusted_ULife_HP]]=3,VLOOKUP(Table1[[#This Row],[Item_Handpump]],[1]!Table2[#All],6,FALSE),0)</f>
        <v>0</v>
      </c>
      <c r="AN68" s="25">
        <f>IF(Table1[[#This Row],[Adjusted_ULife_PF]]=3,VLOOKUP(Table1[[#This Row],[Item_Platform]],[1]!Table2[#All],6,FALSE),0)</f>
        <v>0</v>
      </c>
      <c r="AO68" s="25">
        <f>SUM(Table1[[#This Row],[yr 3_wl]:[yr 3_pf]])</f>
        <v>0</v>
      </c>
      <c r="AP68" s="25">
        <f>IF(Table1[[#This Row],[Years_Next_Rehab_Well]]=4,VLOOKUP(Table1[[#This Row],[Item_Rehab_WL]],[1]!Table2[#All],7,FALSE),0)</f>
        <v>0</v>
      </c>
      <c r="AQ68" s="25">
        <f>IF(Table1[[#This Row],[Adjusted_ULife_HP]]=4,VLOOKUP(Table1[[#This Row],[Item_Handpump]],[1]!Table2[#All],7,FALSE),0)</f>
        <v>0</v>
      </c>
      <c r="AR68" s="25">
        <f>IF(Table1[[#This Row],[Adjusted_ULife_PF]]=4,VLOOKUP(Table1[[#This Row],[Item_Platform]],[1]!Table2[#All],7,FALSE),0)</f>
        <v>0</v>
      </c>
      <c r="AS68" s="25">
        <f>SUM(Table1[[#This Row],[yr 4_wl]:[yr 4_pf]])</f>
        <v>0</v>
      </c>
      <c r="AT68" s="25">
        <f>IF(Table1[[#This Row],[Years_Next_Rehab_Well]]=5,VLOOKUP(Table1[[#This Row],[Item_Rehab_WL]],[1]!Table2[#All],8,FALSE),0)</f>
        <v>0</v>
      </c>
      <c r="AU68" s="25">
        <f>IF(Table1[[#This Row],[Adjusted_ULife_HP]]=5,VLOOKUP(Table1[[#This Row],[Item_Handpump]],[1]!Table2[#All],8,FALSE),0)</f>
        <v>0</v>
      </c>
      <c r="AV68" s="25">
        <f>IF(Table1[[#This Row],[Adjusted_ULife_PF]]=5,VLOOKUP(Table1[[#This Row],[Item_Platform]],[1]!Table2[#All],8,FALSE),0)</f>
        <v>0</v>
      </c>
      <c r="AW68" s="25">
        <f>SUM(Table1[[#This Row],[yr 5_wl]:[yr 5_pf]])</f>
        <v>0</v>
      </c>
      <c r="AX68" s="25">
        <f>IF(Table1[[#This Row],[Years_Next_Rehab_Well]]=6,VLOOKUP(Table1[[#This Row],[Item_Rehab_WL]],[1]!Table2[#All],9,FALSE),0)</f>
        <v>0</v>
      </c>
      <c r="AY68" s="25">
        <f>IF(Table1[[#This Row],[Adjusted_ULife_HP]]=6,VLOOKUP(Table1[[#This Row],[Item_Handpump]],[1]!Table2[#All],9,FALSE),0)</f>
        <v>0</v>
      </c>
      <c r="AZ68" s="25">
        <f>IF(Table1[[#This Row],[Adjusted_ULife_PF]]=6,VLOOKUP(Table1[[#This Row],[Item_Platform]],[1]!Table2[#All],9,FALSE),0)</f>
        <v>0</v>
      </c>
      <c r="BA68" s="25">
        <f>SUM(Table1[[#This Row],[yr 6_wl]:[yr 6_pf]])</f>
        <v>0</v>
      </c>
      <c r="BB68" s="25">
        <f>IF(Table1[[#This Row],[Years_Next_Rehab_Well]]=7,VLOOKUP(Table1[[#This Row],[Item_Rehab_WL]],[1]!Table2[#All],10,FALSE),0)</f>
        <v>0</v>
      </c>
      <c r="BC68" s="25">
        <f>IF(Table1[[#This Row],[Adjusted_ULife_HP]]=7,VLOOKUP(Table1[[#This Row],[Item_Handpump]],[1]!Table2[#All],10,FALSE),0)</f>
        <v>0</v>
      </c>
      <c r="BD68" s="25">
        <f>IF(Table1[[#This Row],[Adjusted_ULife_PF]]=7,VLOOKUP(Table1[[#This Row],[Item_Platform]],[1]!Table2[#All],10,FALSE),0)</f>
        <v>3316.0221111091228</v>
      </c>
      <c r="BE68" s="25">
        <f>SUM(Table1[[#This Row],[yr 7_wl]:[yr 7_pf]])</f>
        <v>3316.0221111091228</v>
      </c>
      <c r="BF68" s="25">
        <f>IF(Table1[[#This Row],[Years_Next_Rehab_Well]]=8,VLOOKUP(Table1[[#This Row],[Item_Rehab_WL]],[1]!Table2[#All],11,FALSE),0)</f>
        <v>0</v>
      </c>
      <c r="BG68" s="25">
        <f>IF(Table1[[#This Row],[Adjusted_ULife_HP]]=8,VLOOKUP(Table1[[#This Row],[Item_Handpump]],[1]!Table2[#All],11,FALSE),0)</f>
        <v>0</v>
      </c>
      <c r="BH68" s="25">
        <f>IF(Table1[[#This Row],[Adjusted_ULife_PF]]=8,VLOOKUP(Table1[[#This Row],[Item_Platform]],[1]!Table2[#All],11,FALSE),0)</f>
        <v>0</v>
      </c>
      <c r="BI68" s="25">
        <f>SUM(Table1[[#This Row],[yr 8_wl]:[yr 8_pf]])</f>
        <v>0</v>
      </c>
      <c r="BJ68" s="25">
        <f>IF(Table1[[#This Row],[Years_Next_Rehab_Well]]=9,VLOOKUP(Table1[[#This Row],[Item_Rehab_WL]],[1]!Table2[#All],12,FALSE),0)</f>
        <v>0</v>
      </c>
      <c r="BK68" s="25">
        <f>IF(Table1[[#This Row],[Adjusted_ULife_HP]]=9,VLOOKUP(Table1[[#This Row],[Item_Handpump]],[1]!Table2[#All],12,FALSE),0)</f>
        <v>0</v>
      </c>
      <c r="BL68" s="25">
        <f>IF(Table1[[#This Row],[Adjusted_ULife_PF]]=9,VLOOKUP(Table1[[#This Row],[Item_Platform]],[1]!Table2[#All],12,FALSE),0)</f>
        <v>0</v>
      </c>
      <c r="BM68" s="25">
        <f>SUM(Table1[[#This Row],[yr 9_wl]:[yr 9_pf]])</f>
        <v>0</v>
      </c>
      <c r="BN68" s="25">
        <f>IF(Table1[[#This Row],[Years_Next_Rehab_Well]]=10,VLOOKUP(Table1[[#This Row],[Item_Rehab_WL]],[1]!Table2[#All],13,FALSE),0)</f>
        <v>0</v>
      </c>
      <c r="BO68" s="25">
        <f>IF(Table1[[#This Row],[Adjusted_ULife_HP]]=10,VLOOKUP(Table1[[#This Row],[Item_Handpump]],[1]!Table2[#All],13,FALSE),0)</f>
        <v>0</v>
      </c>
      <c r="BP68" s="25">
        <f>IF(Table1[[#This Row],[Adjusted_ULife_PF]]=10,VLOOKUP(Table1[[#This Row],[Item_Platform]],[1]!Table2[#All],13,FALSE),0)</f>
        <v>0</v>
      </c>
      <c r="BQ68" s="25">
        <f>SUM(Table1[[#This Row],[yr 10_wl]:[yr 10_pf]])</f>
        <v>0</v>
      </c>
      <c r="BR68" s="25">
        <f>IF(Table1[[#This Row],[Years_Next_Rehab_Well]]=11,VLOOKUP(Table1[[#This Row],[Item_Rehab_WL]],[1]!Table2[#All],14,FALSE),0)</f>
        <v>0</v>
      </c>
      <c r="BS68" s="25">
        <f>IF(Table1[[#This Row],[Adjusted_ULife_HP]]=11,VLOOKUP(Table1[[#This Row],[Item_Handpump]],[1]!Table2[#All],14,FALSE),0)</f>
        <v>0</v>
      </c>
      <c r="BT68" s="25">
        <f>IF(Table1[[#This Row],[Adjusted_ULife_PF]]=11,VLOOKUP(Table1[[#This Row],[Item_Platform]],[1]!Table2[#All],14,FALSE),0)</f>
        <v>0</v>
      </c>
      <c r="BU68" s="25">
        <f>SUM(Table1[[#This Row],[yr 11_wl]:[yr 11_pf]])</f>
        <v>0</v>
      </c>
      <c r="BV68" s="25">
        <f>IF(Table1[[#This Row],[Years_Next_Rehab_Well]]=12,VLOOKUP(Table1[[#This Row],[Item_Rehab_WL]],[1]!Table2[#All],15,FALSE),0)</f>
        <v>0</v>
      </c>
      <c r="BW68" s="25">
        <f>IF(Table1[[#This Row],[Adjusted_ULife_HP]]=12,VLOOKUP(Table1[[#This Row],[Item_Handpump]],[1]!Table2[#All],15,FALSE),0)</f>
        <v>0</v>
      </c>
      <c r="BX68" s="25">
        <f>IF(Table1[[#This Row],[Adjusted_ULife_PF]]=12,VLOOKUP(Table1[[#This Row],[Item_Platform]],[1]!Table2[#All],15,FALSE),0)</f>
        <v>0</v>
      </c>
      <c r="BY68" s="25">
        <f>SUM(Table1[[#This Row],[yr 12_wl]:[yr 12_pf]])</f>
        <v>0</v>
      </c>
      <c r="BZ68" s="25">
        <f>IF(Table1[[#This Row],[Years_Next_Rehab_Well]]=13,VLOOKUP(Table1[[#This Row],[Item_Rehab_WL]],[1]!Table2[#All],16,FALSE),0)</f>
        <v>0</v>
      </c>
      <c r="CA68" s="25">
        <f>IF(Table1[[#This Row],[Adjusted_ULife_HP]]=13,VLOOKUP(Table1[[#This Row],[Item_Handpump]],[1]!Table2[#All],16,FALSE),0)</f>
        <v>0</v>
      </c>
      <c r="CB68" s="25">
        <f>IF(Table1[[#This Row],[Adjusted_ULife_PF]]=13,VLOOKUP(Table1[[#This Row],[Item_Platform]],[1]!Table2[#All],16,FALSE),0)</f>
        <v>0</v>
      </c>
      <c r="CC68" s="25">
        <f>SUM(Table1[[#This Row],[yr 13_wl]:[yr 13_pf]])</f>
        <v>0</v>
      </c>
      <c r="CD68" s="12"/>
    </row>
    <row r="69" spans="1:82" s="11" customFormat="1" x14ac:dyDescent="0.25">
      <c r="A69" s="11" t="str">
        <f>IF([1]Input_monitoring_data!A65="","",[1]Input_monitoring_data!A65)</f>
        <v>b0hh-7j51-9nfn</v>
      </c>
      <c r="B69" s="22" t="str">
        <f>[1]Input_monitoring_data!BH65</f>
        <v>NTOTROSO</v>
      </c>
      <c r="C69" s="22" t="str">
        <f>[1]Input_monitoring_data!BI65</f>
        <v>WAMAHINSO</v>
      </c>
      <c r="D69" s="22" t="str">
        <f>[1]Input_monitoring_data!P65</f>
        <v>7.09059</v>
      </c>
      <c r="E69" s="22" t="str">
        <f>[1]Input_monitoring_data!Q65</f>
        <v>-2.3430316666666666</v>
      </c>
      <c r="F69" s="22" t="str">
        <f>[1]Input_monitoring_data!V65</f>
        <v>Behand Community Center</v>
      </c>
      <c r="G69" s="23" t="str">
        <f>[1]Input_monitoring_data!U65</f>
        <v>Borehole</v>
      </c>
      <c r="H69" s="22">
        <f>[1]Input_monitoring_data!X65</f>
        <v>2010</v>
      </c>
      <c r="I69" s="21" t="str">
        <f>[1]Input_monitoring_data!AB65</f>
        <v>Borehole redevelopment</v>
      </c>
      <c r="J69" s="21">
        <f>[1]Input_monitoring_data!AC65</f>
        <v>0</v>
      </c>
      <c r="K69" s="23" t="str">
        <f>[1]Input_monitoring_data!W65</f>
        <v>AfriDev</v>
      </c>
      <c r="L69" s="22">
        <f>[1]Input_monitoring_data!X65</f>
        <v>2010</v>
      </c>
      <c r="M69" s="21" t="str">
        <f>IF([1]Input_monitoring_data!BL65&gt;'Point Sources_Asset_Register_'!L69,[1]Input_monitoring_data!BL65,"")</f>
        <v/>
      </c>
      <c r="N69" s="22" t="str">
        <f>[1]Input_monitoring_data!BQ65</f>
        <v>functional</v>
      </c>
      <c r="O69" s="22">
        <f>[1]Input_monitoring_data!AJ65</f>
        <v>0</v>
      </c>
      <c r="P69" s="23" t="s">
        <v>0</v>
      </c>
      <c r="Q69" s="22">
        <f>L69</f>
        <v>2010</v>
      </c>
      <c r="R69" s="21" t="str">
        <f>M69</f>
        <v/>
      </c>
      <c r="S69" s="20">
        <f>[1]Input_EUL_CRC_ERC!$B$17-Table1[[#This Row],[Year Installed_WL]]</f>
        <v>7</v>
      </c>
      <c r="T69" s="20">
        <f>[1]Input_EUL_CRC_ERC!$B$17-(IF(Table1[[#This Row],[Year Last_Rehab_WL ]]=0,Table1[[#This Row],[Year Installed_WL]],[1]Input_EUL_CRC_ERC!$B$17-Table1[[#This Row],[Year Last_Rehab_WL ]]))</f>
        <v>7</v>
      </c>
      <c r="U69" s="20">
        <f>(VLOOKUP(Table1[[#This Row],[Item_Rehab_WL]],[1]Input_EUL_CRC_ERC!$C$17:$E$27,2,FALSE)-Table1[[#This Row],[Last Rehab Age]])</f>
        <v>8</v>
      </c>
      <c r="V69" s="26">
        <f>[1]Input_EUL_CRC_ERC!$B$17-Table1[[#This Row],[Year Installed_HP]]</f>
        <v>7</v>
      </c>
      <c r="W69" s="26">
        <f>(VLOOKUP(Table1[[#This Row],[Item_Handpump]],[1]!Table2[#All],2,FALSE))-(IF(Table1[[#This Row],[Year Last_Rehab_HP]]="",Table1[[#This Row],[Current Age_Handpump]],[1]Input_EUL_CRC_ERC!$B$17-Table1[[#This Row],[Year Last_Rehab_HP]]))</f>
        <v>13</v>
      </c>
      <c r="X69" s="26">
        <f>[1]Input_EUL_CRC_ERC!$B$17-Table1[[#This Row],[Year Installed_PF]]</f>
        <v>7</v>
      </c>
      <c r="Y69" s="26">
        <f>(VLOOKUP(Table1[[#This Row],[Item_Platform]],[1]!Table2[#All],2,FALSE))-(IF(Table1[[#This Row],[Year Last_Rehab_PF]]="",Table1[[#This Row],[Current Age_Platform]],[1]Input_EUL_CRC_ERC!$B$17-Table1[[#This Row],[Year Last_Rehab_PF]]))</f>
        <v>3</v>
      </c>
      <c r="Z69" s="25">
        <f>IF(Table1[[#This Row],[Years_Next_Rehab_Well]]&lt;=0,VLOOKUP(Table1[[#This Row],[Item_Rehab_WL]],[1]!Table2[#All],3,FALSE),0)</f>
        <v>0</v>
      </c>
      <c r="AA69" s="25">
        <f>IF(Table1[[#This Row],[Adjusted_ULife_HP]]&lt;=0,VLOOKUP(Table1[[#This Row],[Item_Handpump]],[1]!Table2[#All],3,FALSE),0)</f>
        <v>0</v>
      </c>
      <c r="AB69" s="25">
        <f>IF(Table1[[#This Row],[Adjusted_ULife_PF]]&lt;=0,VLOOKUP(Table1[[#This Row],[Item_Platform]],[1]!Table2[#All],3,FALSE),0)</f>
        <v>0</v>
      </c>
      <c r="AC69" s="25">
        <f>SUM(Table1[[#This Row],[current yr_wl]:[current yr_pf]])</f>
        <v>0</v>
      </c>
      <c r="AD69" s="25">
        <f>IF(Table1[[#This Row],[Years_Next_Rehab_Well]]=1,VLOOKUP(Table1[[#This Row],[Item_Rehab_WL]],[1]!Table2[#All],4,FALSE),0)</f>
        <v>0</v>
      </c>
      <c r="AE69" s="25">
        <f>IF(Table1[[#This Row],[Adjusted_ULife_HP]]=1,VLOOKUP(Table1[[#This Row],[Item_Handpump]],[1]!Table2[#All],4,FALSE),0)</f>
        <v>0</v>
      </c>
      <c r="AF69" s="25">
        <f>IF(Table1[[#This Row],[Adjusted_ULife_PF]]=1,VLOOKUP(Table1[[#This Row],[Item_Platform]],[1]!Table2[#All],4,FALSE),0)</f>
        <v>0</v>
      </c>
      <c r="AG69" s="25">
        <f>SUM(Table1[[#This Row],[yr 1_wl]:[yr 1_pf]])</f>
        <v>0</v>
      </c>
      <c r="AH69" s="25">
        <f>IF(Table1[[#This Row],[Years_Next_Rehab_Well]]=2,VLOOKUP(Table1[[#This Row],[Item_Rehab_WL]],[1]!Table2[#All],5,FALSE),0)</f>
        <v>0</v>
      </c>
      <c r="AI69" s="25">
        <f>IF(Table1[[#This Row],[Adjusted_ULife_HP]]=2,VLOOKUP(Table1[[#This Row],[Item_Handpump]],[1]!Table2[#All],5,FALSE),0)</f>
        <v>0</v>
      </c>
      <c r="AJ69" s="25">
        <f>IF(Table1[[#This Row],[Adjusted_ULife_PF]]=2,VLOOKUP(Table1[[#This Row],[Item_Platform]],[1]!Table2[#All],5,FALSE),0)</f>
        <v>0</v>
      </c>
      <c r="AK69" s="25">
        <f>SUM(Table1[[#This Row],[yr 2_wl]:[yr 2_pf]])</f>
        <v>0</v>
      </c>
      <c r="AL69" s="25">
        <f>IF(Table1[[#This Row],[Years_Next_Rehab_Well]]=3,VLOOKUP(Table1[[#This Row],[Item_Rehab_WL]],[1]!Table2[#All],6,FALSE),0)</f>
        <v>0</v>
      </c>
      <c r="AM69" s="25">
        <f>IF(Table1[[#This Row],[Adjusted_ULife_HP]]=3,VLOOKUP(Table1[[#This Row],[Item_Handpump]],[1]!Table2[#All],6,FALSE),0)</f>
        <v>0</v>
      </c>
      <c r="AN69" s="25">
        <f>IF(Table1[[#This Row],[Adjusted_ULife_PF]]=3,VLOOKUP(Table1[[#This Row],[Item_Platform]],[1]!Table2[#All],6,FALSE),0)</f>
        <v>2107.3920000000007</v>
      </c>
      <c r="AO69" s="25">
        <f>SUM(Table1[[#This Row],[yr 3_wl]:[yr 3_pf]])</f>
        <v>2107.3920000000007</v>
      </c>
      <c r="AP69" s="25">
        <f>IF(Table1[[#This Row],[Years_Next_Rehab_Well]]=4,VLOOKUP(Table1[[#This Row],[Item_Rehab_WL]],[1]!Table2[#All],7,FALSE),0)</f>
        <v>0</v>
      </c>
      <c r="AQ69" s="25">
        <f>IF(Table1[[#This Row],[Adjusted_ULife_HP]]=4,VLOOKUP(Table1[[#This Row],[Item_Handpump]],[1]!Table2[#All],7,FALSE),0)</f>
        <v>0</v>
      </c>
      <c r="AR69" s="25">
        <f>IF(Table1[[#This Row],[Adjusted_ULife_PF]]=4,VLOOKUP(Table1[[#This Row],[Item_Platform]],[1]!Table2[#All],7,FALSE),0)</f>
        <v>0</v>
      </c>
      <c r="AS69" s="25">
        <f>SUM(Table1[[#This Row],[yr 4_wl]:[yr 4_pf]])</f>
        <v>0</v>
      </c>
      <c r="AT69" s="25">
        <f>IF(Table1[[#This Row],[Years_Next_Rehab_Well]]=5,VLOOKUP(Table1[[#This Row],[Item_Rehab_WL]],[1]!Table2[#All],8,FALSE),0)</f>
        <v>0</v>
      </c>
      <c r="AU69" s="25">
        <f>IF(Table1[[#This Row],[Adjusted_ULife_HP]]=5,VLOOKUP(Table1[[#This Row],[Item_Handpump]],[1]!Table2[#All],8,FALSE),0)</f>
        <v>0</v>
      </c>
      <c r="AV69" s="25">
        <f>IF(Table1[[#This Row],[Adjusted_ULife_PF]]=5,VLOOKUP(Table1[[#This Row],[Item_Platform]],[1]!Table2[#All],8,FALSE),0)</f>
        <v>0</v>
      </c>
      <c r="AW69" s="25">
        <f>SUM(Table1[[#This Row],[yr 5_wl]:[yr 5_pf]])</f>
        <v>0</v>
      </c>
      <c r="AX69" s="25">
        <f>IF(Table1[[#This Row],[Years_Next_Rehab_Well]]=6,VLOOKUP(Table1[[#This Row],[Item_Rehab_WL]],[1]!Table2[#All],9,FALSE),0)</f>
        <v>0</v>
      </c>
      <c r="AY69" s="25">
        <f>IF(Table1[[#This Row],[Adjusted_ULife_HP]]=6,VLOOKUP(Table1[[#This Row],[Item_Handpump]],[1]!Table2[#All],9,FALSE),0)</f>
        <v>0</v>
      </c>
      <c r="AZ69" s="25">
        <f>IF(Table1[[#This Row],[Adjusted_ULife_PF]]=6,VLOOKUP(Table1[[#This Row],[Item_Platform]],[1]!Table2[#All],9,FALSE),0)</f>
        <v>0</v>
      </c>
      <c r="BA69" s="25">
        <f>SUM(Table1[[#This Row],[yr 6_wl]:[yr 6_pf]])</f>
        <v>0</v>
      </c>
      <c r="BB69" s="25">
        <f>IF(Table1[[#This Row],[Years_Next_Rehab_Well]]=7,VLOOKUP(Table1[[#This Row],[Item_Rehab_WL]],[1]!Table2[#All],10,FALSE),0)</f>
        <v>0</v>
      </c>
      <c r="BC69" s="25">
        <f>IF(Table1[[#This Row],[Adjusted_ULife_HP]]=7,VLOOKUP(Table1[[#This Row],[Item_Handpump]],[1]!Table2[#All],10,FALSE),0)</f>
        <v>0</v>
      </c>
      <c r="BD69" s="25">
        <f>IF(Table1[[#This Row],[Adjusted_ULife_PF]]=7,VLOOKUP(Table1[[#This Row],[Item_Platform]],[1]!Table2[#All],10,FALSE),0)</f>
        <v>0</v>
      </c>
      <c r="BE69" s="25">
        <f>SUM(Table1[[#This Row],[yr 7_wl]:[yr 7_pf]])</f>
        <v>0</v>
      </c>
      <c r="BF69" s="25">
        <f>IF(Table1[[#This Row],[Years_Next_Rehab_Well]]=8,VLOOKUP(Table1[[#This Row],[Item_Rehab_WL]],[1]!Table2[#All],11,FALSE),0)</f>
        <v>9078.5316464143089</v>
      </c>
      <c r="BG69" s="25">
        <f>IF(Table1[[#This Row],[Adjusted_ULife_HP]]=8,VLOOKUP(Table1[[#This Row],[Item_Handpump]],[1]!Table2[#All],11,FALSE),0)</f>
        <v>0</v>
      </c>
      <c r="BH69" s="25">
        <f>IF(Table1[[#This Row],[Adjusted_ULife_PF]]=8,VLOOKUP(Table1[[#This Row],[Item_Platform]],[1]!Table2[#All],11,FALSE),0)</f>
        <v>0</v>
      </c>
      <c r="BI69" s="25">
        <f>SUM(Table1[[#This Row],[yr 8_wl]:[yr 8_pf]])</f>
        <v>9078.5316464143089</v>
      </c>
      <c r="BJ69" s="25">
        <f>IF(Table1[[#This Row],[Years_Next_Rehab_Well]]=9,VLOOKUP(Table1[[#This Row],[Item_Rehab_WL]],[1]!Table2[#All],12,FALSE),0)</f>
        <v>0</v>
      </c>
      <c r="BK69" s="25">
        <f>IF(Table1[[#This Row],[Adjusted_ULife_HP]]=9,VLOOKUP(Table1[[#This Row],[Item_Handpump]],[1]!Table2[#All],12,FALSE),0)</f>
        <v>0</v>
      </c>
      <c r="BL69" s="25">
        <f>IF(Table1[[#This Row],[Adjusted_ULife_PF]]=9,VLOOKUP(Table1[[#This Row],[Item_Platform]],[1]!Table2[#All],12,FALSE),0)</f>
        <v>0</v>
      </c>
      <c r="BM69" s="25">
        <f>SUM(Table1[[#This Row],[yr 9_wl]:[yr 9_pf]])</f>
        <v>0</v>
      </c>
      <c r="BN69" s="25">
        <f>IF(Table1[[#This Row],[Years_Next_Rehab_Well]]=10,VLOOKUP(Table1[[#This Row],[Item_Rehab_WL]],[1]!Table2[#All],13,FALSE),0)</f>
        <v>0</v>
      </c>
      <c r="BO69" s="25">
        <f>IF(Table1[[#This Row],[Adjusted_ULife_HP]]=10,VLOOKUP(Table1[[#This Row],[Item_Handpump]],[1]!Table2[#All],13,FALSE),0)</f>
        <v>0</v>
      </c>
      <c r="BP69" s="25">
        <f>IF(Table1[[#This Row],[Adjusted_ULife_PF]]=10,VLOOKUP(Table1[[#This Row],[Item_Platform]],[1]!Table2[#All],13,FALSE),0)</f>
        <v>0</v>
      </c>
      <c r="BQ69" s="25">
        <f>SUM(Table1[[#This Row],[yr 10_wl]:[yr 10_pf]])</f>
        <v>0</v>
      </c>
      <c r="BR69" s="25">
        <f>IF(Table1[[#This Row],[Years_Next_Rehab_Well]]=11,VLOOKUP(Table1[[#This Row],[Item_Rehab_WL]],[1]!Table2[#All],14,FALSE),0)</f>
        <v>0</v>
      </c>
      <c r="BS69" s="25">
        <f>IF(Table1[[#This Row],[Adjusted_ULife_HP]]=11,VLOOKUP(Table1[[#This Row],[Item_Handpump]],[1]!Table2[#All],14,FALSE),0)</f>
        <v>0</v>
      </c>
      <c r="BT69" s="25">
        <f>IF(Table1[[#This Row],[Adjusted_ULife_PF]]=11,VLOOKUP(Table1[[#This Row],[Item_Platform]],[1]!Table2[#All],14,FALSE),0)</f>
        <v>0</v>
      </c>
      <c r="BU69" s="25">
        <f>SUM(Table1[[#This Row],[yr 11_wl]:[yr 11_pf]])</f>
        <v>0</v>
      </c>
      <c r="BV69" s="25">
        <f>IF(Table1[[#This Row],[Years_Next_Rehab_Well]]=12,VLOOKUP(Table1[[#This Row],[Item_Rehab_WL]],[1]!Table2[#All],15,FALSE),0)</f>
        <v>0</v>
      </c>
      <c r="BW69" s="25">
        <f>IF(Table1[[#This Row],[Adjusted_ULife_HP]]=12,VLOOKUP(Table1[[#This Row],[Item_Handpump]],[1]!Table2[#All],15,FALSE),0)</f>
        <v>0</v>
      </c>
      <c r="BX69" s="25">
        <f>IF(Table1[[#This Row],[Adjusted_ULife_PF]]=12,VLOOKUP(Table1[[#This Row],[Item_Platform]],[1]!Table2[#All],15,FALSE),0)</f>
        <v>0</v>
      </c>
      <c r="BY69" s="25">
        <f>SUM(Table1[[#This Row],[yr 12_wl]:[yr 12_pf]])</f>
        <v>0</v>
      </c>
      <c r="BZ69" s="25">
        <f>IF(Table1[[#This Row],[Years_Next_Rehab_Well]]=13,VLOOKUP(Table1[[#This Row],[Item_Rehab_WL]],[1]!Table2[#All],16,FALSE),0)</f>
        <v>0</v>
      </c>
      <c r="CA69" s="25">
        <f>IF(Table1[[#This Row],[Adjusted_ULife_HP]]=13,VLOOKUP(Table1[[#This Row],[Item_Handpump]],[1]!Table2[#All],16,FALSE),0)</f>
        <v>1745.3972446610471</v>
      </c>
      <c r="CB69" s="25">
        <f>IF(Table1[[#This Row],[Adjusted_ULife_PF]]=13,VLOOKUP(Table1[[#This Row],[Item_Platform]],[1]!Table2[#All],16,FALSE),0)</f>
        <v>0</v>
      </c>
      <c r="CC69" s="25">
        <f>SUM(Table1[[#This Row],[yr 13_wl]:[yr 13_pf]])</f>
        <v>1745.3972446610471</v>
      </c>
      <c r="CD69" s="12"/>
    </row>
    <row r="70" spans="1:82" s="11" customFormat="1" x14ac:dyDescent="0.25">
      <c r="A70" s="11" t="str">
        <f>IF([1]Input_monitoring_data!A66="","",[1]Input_monitoring_data!A66)</f>
        <v>b27m-hd42-huam</v>
      </c>
      <c r="B70" s="22" t="str">
        <f>[1]Input_monitoring_data!BH66</f>
        <v>Ntotroso</v>
      </c>
      <c r="C70" s="22" t="str">
        <f>[1]Input_monitoring_data!BI66</f>
        <v>Kwame Aduanakrom</v>
      </c>
      <c r="D70" s="22" t="str">
        <f>[1]Input_monitoring_data!P66</f>
        <v>7.056713039172011</v>
      </c>
      <c r="E70" s="22" t="str">
        <f>[1]Input_monitoring_data!Q66</f>
        <v>-2.379672242379253</v>
      </c>
      <c r="F70" s="22" t="str">
        <f>[1]Input_monitoring_data!V66</f>
        <v>Behind Bukari Abanga's House</v>
      </c>
      <c r="G70" s="23" t="str">
        <f>[1]Input_monitoring_data!U66</f>
        <v>Borehole</v>
      </c>
      <c r="H70" s="22">
        <f>[1]Input_monitoring_data!X66</f>
        <v>2005</v>
      </c>
      <c r="I70" s="21" t="str">
        <f>[1]Input_monitoring_data!AB66</f>
        <v>Borehole redevelopment</v>
      </c>
      <c r="J70" s="21">
        <f>[1]Input_monitoring_data!AC66</f>
        <v>0</v>
      </c>
      <c r="K70" s="23" t="str">
        <f>[1]Input_monitoring_data!W66</f>
        <v>AfriDev</v>
      </c>
      <c r="L70" s="22">
        <f>[1]Input_monitoring_data!X66</f>
        <v>2005</v>
      </c>
      <c r="M70" s="21" t="str">
        <f>IF([1]Input_monitoring_data!BL66&gt;'Point Sources_Asset_Register_'!L70,[1]Input_monitoring_data!BL66,"")</f>
        <v/>
      </c>
      <c r="N70" s="22" t="str">
        <f>[1]Input_monitoring_data!BQ66</f>
        <v>not functional</v>
      </c>
      <c r="O70" s="22">
        <f>[1]Input_monitoring_data!AJ66</f>
        <v>0</v>
      </c>
      <c r="P70" s="23" t="s">
        <v>0</v>
      </c>
      <c r="Q70" s="22">
        <f>L70</f>
        <v>2005</v>
      </c>
      <c r="R70" s="21" t="str">
        <f>M70</f>
        <v/>
      </c>
      <c r="S70" s="20">
        <f>[1]Input_EUL_CRC_ERC!$B$17-Table1[[#This Row],[Year Installed_WL]]</f>
        <v>12</v>
      </c>
      <c r="T70" s="20">
        <f>[1]Input_EUL_CRC_ERC!$B$17-(IF(Table1[[#This Row],[Year Last_Rehab_WL ]]=0,Table1[[#This Row],[Year Installed_WL]],[1]Input_EUL_CRC_ERC!$B$17-Table1[[#This Row],[Year Last_Rehab_WL ]]))</f>
        <v>12</v>
      </c>
      <c r="U70" s="20">
        <f>(VLOOKUP(Table1[[#This Row],[Item_Rehab_WL]],[1]Input_EUL_CRC_ERC!$C$17:$E$27,2,FALSE)-Table1[[#This Row],[Last Rehab Age]])</f>
        <v>3</v>
      </c>
      <c r="V70" s="19">
        <f>[1]Input_EUL_CRC_ERC!$B$17-Table1[[#This Row],[Year Installed_HP]]</f>
        <v>12</v>
      </c>
      <c r="W70" s="19">
        <f>(VLOOKUP(Table1[[#This Row],[Item_Handpump]],[1]!Table2[#All],2,FALSE))-(IF(Table1[[#This Row],[Year Last_Rehab_HP]]="",Table1[[#This Row],[Current Age_Handpump]],[1]Input_EUL_CRC_ERC!$B$17-Table1[[#This Row],[Year Last_Rehab_HP]]))</f>
        <v>8</v>
      </c>
      <c r="X70" s="19">
        <f>[1]Input_EUL_CRC_ERC!$B$17-Table1[[#This Row],[Year Installed_PF]]</f>
        <v>12</v>
      </c>
      <c r="Y70" s="19">
        <f>(VLOOKUP(Table1[[#This Row],[Item_Platform]],[1]!Table2[#All],2,FALSE))-(IF(Table1[[#This Row],[Year Last_Rehab_PF]]="",Table1[[#This Row],[Current Age_Platform]],[1]Input_EUL_CRC_ERC!$B$17-Table1[[#This Row],[Year Last_Rehab_PF]]))</f>
        <v>-2</v>
      </c>
      <c r="Z70" s="25">
        <f>IF(Table1[[#This Row],[Years_Next_Rehab_Well]]&lt;=0,VLOOKUP(Table1[[#This Row],[Item_Rehab_WL]],[1]!Table2[#All],3,FALSE),0)</f>
        <v>0</v>
      </c>
      <c r="AA70" s="18">
        <f>IF(Table1[[#This Row],[Adjusted_ULife_HP]]&lt;=0,VLOOKUP(Table1[[#This Row],[Item_Handpump]],[1]!Table2[#All],3,FALSE),0)</f>
        <v>0</v>
      </c>
      <c r="AB70" s="18">
        <f>IF(Table1[[#This Row],[Adjusted_ULife_PF]]&lt;=0,VLOOKUP(Table1[[#This Row],[Item_Platform]],[1]!Table2[#All],3,FALSE),0)</f>
        <v>1500</v>
      </c>
      <c r="AC70" s="18">
        <f>SUM(Table1[[#This Row],[current yr_wl]:[current yr_pf]])</f>
        <v>1500</v>
      </c>
      <c r="AD70" s="25">
        <f>IF(Table1[[#This Row],[Years_Next_Rehab_Well]]=1,VLOOKUP(Table1[[#This Row],[Item_Rehab_WL]],[1]!Table2[#All],4,FALSE),0)</f>
        <v>0</v>
      </c>
      <c r="AE70" s="25">
        <f>IF(Table1[[#This Row],[Adjusted_ULife_HP]]=1,VLOOKUP(Table1[[#This Row],[Item_Handpump]],[1]!Table2[#All],4,FALSE),0)</f>
        <v>0</v>
      </c>
      <c r="AF70" s="25">
        <f>IF(Table1[[#This Row],[Adjusted_ULife_PF]]=1,VLOOKUP(Table1[[#This Row],[Item_Platform]],[1]!Table2[#All],4,FALSE),0)</f>
        <v>0</v>
      </c>
      <c r="AG70" s="25">
        <f>SUM(Table1[[#This Row],[yr 1_wl]:[yr 1_pf]])</f>
        <v>0</v>
      </c>
      <c r="AH70" s="25">
        <f>IF(Table1[[#This Row],[Years_Next_Rehab_Well]]=2,VLOOKUP(Table1[[#This Row],[Item_Rehab_WL]],[1]!Table2[#All],5,FALSE),0)</f>
        <v>0</v>
      </c>
      <c r="AI70" s="25">
        <f>IF(Table1[[#This Row],[Adjusted_ULife_HP]]=2,VLOOKUP(Table1[[#This Row],[Item_Handpump]],[1]!Table2[#All],5,FALSE),0)</f>
        <v>0</v>
      </c>
      <c r="AJ70" s="25">
        <f>IF(Table1[[#This Row],[Adjusted_ULife_PF]]=2,VLOOKUP(Table1[[#This Row],[Item_Platform]],[1]!Table2[#All],5,FALSE),0)</f>
        <v>0</v>
      </c>
      <c r="AK70" s="25">
        <f>SUM(Table1[[#This Row],[yr 2_wl]:[yr 2_pf]])</f>
        <v>0</v>
      </c>
      <c r="AL70" s="25">
        <f>IF(Table1[[#This Row],[Years_Next_Rehab_Well]]=3,VLOOKUP(Table1[[#This Row],[Item_Rehab_WL]],[1]!Table2[#All],6,FALSE),0)</f>
        <v>5151.4026666666678</v>
      </c>
      <c r="AM70" s="25">
        <f>IF(Table1[[#This Row],[Adjusted_ULife_HP]]=3,VLOOKUP(Table1[[#This Row],[Item_Handpump]],[1]!Table2[#All],6,FALSE),0)</f>
        <v>0</v>
      </c>
      <c r="AN70" s="25">
        <f>IF(Table1[[#This Row],[Adjusted_ULife_PF]]=3,VLOOKUP(Table1[[#This Row],[Item_Platform]],[1]!Table2[#All],6,FALSE),0)</f>
        <v>0</v>
      </c>
      <c r="AO70" s="25">
        <f>SUM(Table1[[#This Row],[yr 3_wl]:[yr 3_pf]])</f>
        <v>5151.4026666666678</v>
      </c>
      <c r="AP70" s="25">
        <f>IF(Table1[[#This Row],[Years_Next_Rehab_Well]]=4,VLOOKUP(Table1[[#This Row],[Item_Rehab_WL]],[1]!Table2[#All],7,FALSE),0)</f>
        <v>0</v>
      </c>
      <c r="AQ70" s="25">
        <f>IF(Table1[[#This Row],[Adjusted_ULife_HP]]=4,VLOOKUP(Table1[[#This Row],[Item_Handpump]],[1]!Table2[#All],7,FALSE),0)</f>
        <v>0</v>
      </c>
      <c r="AR70" s="25">
        <f>IF(Table1[[#This Row],[Adjusted_ULife_PF]]=4,VLOOKUP(Table1[[#This Row],[Item_Platform]],[1]!Table2[#All],7,FALSE),0)</f>
        <v>0</v>
      </c>
      <c r="AS70" s="25">
        <f>SUM(Table1[[#This Row],[yr 4_wl]:[yr 4_pf]])</f>
        <v>0</v>
      </c>
      <c r="AT70" s="25">
        <f>IF(Table1[[#This Row],[Years_Next_Rehab_Well]]=5,VLOOKUP(Table1[[#This Row],[Item_Rehab_WL]],[1]!Table2[#All],8,FALSE),0)</f>
        <v>0</v>
      </c>
      <c r="AU70" s="25">
        <f>IF(Table1[[#This Row],[Adjusted_ULife_HP]]=5,VLOOKUP(Table1[[#This Row],[Item_Handpump]],[1]!Table2[#All],8,FALSE),0)</f>
        <v>0</v>
      </c>
      <c r="AV70" s="25">
        <f>IF(Table1[[#This Row],[Adjusted_ULife_PF]]=5,VLOOKUP(Table1[[#This Row],[Item_Platform]],[1]!Table2[#All],8,FALSE),0)</f>
        <v>0</v>
      </c>
      <c r="AW70" s="25">
        <f>SUM(Table1[[#This Row],[yr 5_wl]:[yr 5_pf]])</f>
        <v>0</v>
      </c>
      <c r="AX70" s="25">
        <f>IF(Table1[[#This Row],[Years_Next_Rehab_Well]]=6,VLOOKUP(Table1[[#This Row],[Item_Rehab_WL]],[1]!Table2[#All],9,FALSE),0)</f>
        <v>0</v>
      </c>
      <c r="AY70" s="25">
        <f>IF(Table1[[#This Row],[Adjusted_ULife_HP]]=6,VLOOKUP(Table1[[#This Row],[Item_Handpump]],[1]!Table2[#All],9,FALSE),0)</f>
        <v>0</v>
      </c>
      <c r="AZ70" s="25">
        <f>IF(Table1[[#This Row],[Adjusted_ULife_PF]]=6,VLOOKUP(Table1[[#This Row],[Item_Platform]],[1]!Table2[#All],9,FALSE),0)</f>
        <v>0</v>
      </c>
      <c r="BA70" s="25">
        <f>SUM(Table1[[#This Row],[yr 6_wl]:[yr 6_pf]])</f>
        <v>0</v>
      </c>
      <c r="BB70" s="25">
        <f>IF(Table1[[#This Row],[Years_Next_Rehab_Well]]=7,VLOOKUP(Table1[[#This Row],[Item_Rehab_WL]],[1]!Table2[#All],10,FALSE),0)</f>
        <v>0</v>
      </c>
      <c r="BC70" s="25">
        <f>IF(Table1[[#This Row],[Adjusted_ULife_HP]]=7,VLOOKUP(Table1[[#This Row],[Item_Handpump]],[1]!Table2[#All],10,FALSE),0)</f>
        <v>0</v>
      </c>
      <c r="BD70" s="25">
        <f>IF(Table1[[#This Row],[Adjusted_ULife_PF]]=7,VLOOKUP(Table1[[#This Row],[Item_Platform]],[1]!Table2[#All],10,FALSE),0)</f>
        <v>0</v>
      </c>
      <c r="BE70" s="25">
        <f>SUM(Table1[[#This Row],[yr 7_wl]:[yr 7_pf]])</f>
        <v>0</v>
      </c>
      <c r="BF70" s="25">
        <f>IF(Table1[[#This Row],[Years_Next_Rehab_Well]]=8,VLOOKUP(Table1[[#This Row],[Item_Rehab_WL]],[1]!Table2[#All],11,FALSE),0)</f>
        <v>0</v>
      </c>
      <c r="BG70" s="25">
        <f>IF(Table1[[#This Row],[Adjusted_ULife_HP]]=8,VLOOKUP(Table1[[#This Row],[Item_Handpump]],[1]!Table2[#All],11,FALSE),0)</f>
        <v>990.38527051792437</v>
      </c>
      <c r="BH70" s="25">
        <f>IF(Table1[[#This Row],[Adjusted_ULife_PF]]=8,VLOOKUP(Table1[[#This Row],[Item_Platform]],[1]!Table2[#All],11,FALSE),0)</f>
        <v>0</v>
      </c>
      <c r="BI70" s="25">
        <f>SUM(Table1[[#This Row],[yr 8_wl]:[yr 8_pf]])</f>
        <v>990.38527051792437</v>
      </c>
      <c r="BJ70" s="25">
        <f>IF(Table1[[#This Row],[Years_Next_Rehab_Well]]=9,VLOOKUP(Table1[[#This Row],[Item_Rehab_WL]],[1]!Table2[#All],12,FALSE),0)</f>
        <v>0</v>
      </c>
      <c r="BK70" s="25">
        <f>IF(Table1[[#This Row],[Adjusted_ULife_HP]]=9,VLOOKUP(Table1[[#This Row],[Item_Handpump]],[1]!Table2[#All],12,FALSE),0)</f>
        <v>0</v>
      </c>
      <c r="BL70" s="25">
        <f>IF(Table1[[#This Row],[Adjusted_ULife_PF]]=9,VLOOKUP(Table1[[#This Row],[Item_Platform]],[1]!Table2[#All],12,FALSE),0)</f>
        <v>0</v>
      </c>
      <c r="BM70" s="25">
        <f>SUM(Table1[[#This Row],[yr 9_wl]:[yr 9_pf]])</f>
        <v>0</v>
      </c>
      <c r="BN70" s="25">
        <f>IF(Table1[[#This Row],[Years_Next_Rehab_Well]]=10,VLOOKUP(Table1[[#This Row],[Item_Rehab_WL]],[1]!Table2[#All],13,FALSE),0)</f>
        <v>0</v>
      </c>
      <c r="BO70" s="25">
        <f>IF(Table1[[#This Row],[Adjusted_ULife_HP]]=10,VLOOKUP(Table1[[#This Row],[Item_Handpump]],[1]!Table2[#All],13,FALSE),0)</f>
        <v>0</v>
      </c>
      <c r="BP70" s="25">
        <f>IF(Table1[[#This Row],[Adjusted_ULife_PF]]=10,VLOOKUP(Table1[[#This Row],[Item_Platform]],[1]!Table2[#All],13,FALSE),0)</f>
        <v>0</v>
      </c>
      <c r="BQ70" s="25">
        <f>SUM(Table1[[#This Row],[yr 10_wl]:[yr 10_pf]])</f>
        <v>0</v>
      </c>
      <c r="BR70" s="25">
        <f>IF(Table1[[#This Row],[Years_Next_Rehab_Well]]=11,VLOOKUP(Table1[[#This Row],[Item_Rehab_WL]],[1]!Table2[#All],14,FALSE),0)</f>
        <v>0</v>
      </c>
      <c r="BS70" s="25">
        <f>IF(Table1[[#This Row],[Adjusted_ULife_HP]]=11,VLOOKUP(Table1[[#This Row],[Item_Handpump]],[1]!Table2[#All],14,FALSE),0)</f>
        <v>0</v>
      </c>
      <c r="BT70" s="25">
        <f>IF(Table1[[#This Row],[Adjusted_ULife_PF]]=11,VLOOKUP(Table1[[#This Row],[Item_Platform]],[1]!Table2[#All],14,FALSE),0)</f>
        <v>0</v>
      </c>
      <c r="BU70" s="25">
        <f>SUM(Table1[[#This Row],[yr 11_wl]:[yr 11_pf]])</f>
        <v>0</v>
      </c>
      <c r="BV70" s="25">
        <f>IF(Table1[[#This Row],[Years_Next_Rehab_Well]]=12,VLOOKUP(Table1[[#This Row],[Item_Rehab_WL]],[1]!Table2[#All],15,FALSE),0)</f>
        <v>0</v>
      </c>
      <c r="BW70" s="25">
        <f>IF(Table1[[#This Row],[Adjusted_ULife_HP]]=12,VLOOKUP(Table1[[#This Row],[Item_Handpump]],[1]!Table2[#All],15,FALSE),0)</f>
        <v>0</v>
      </c>
      <c r="BX70" s="25">
        <f>IF(Table1[[#This Row],[Adjusted_ULife_PF]]=12,VLOOKUP(Table1[[#This Row],[Item_Platform]],[1]!Table2[#All],15,FALSE),0)</f>
        <v>0</v>
      </c>
      <c r="BY70" s="25">
        <f>SUM(Table1[[#This Row],[yr 12_wl]:[yr 12_pf]])</f>
        <v>0</v>
      </c>
      <c r="BZ70" s="25">
        <f>IF(Table1[[#This Row],[Years_Next_Rehab_Well]]=13,VLOOKUP(Table1[[#This Row],[Item_Rehab_WL]],[1]!Table2[#All],16,FALSE),0)</f>
        <v>0</v>
      </c>
      <c r="CA70" s="25">
        <f>IF(Table1[[#This Row],[Adjusted_ULife_HP]]=13,VLOOKUP(Table1[[#This Row],[Item_Handpump]],[1]!Table2[#All],16,FALSE),0)</f>
        <v>0</v>
      </c>
      <c r="CB70" s="25">
        <f>IF(Table1[[#This Row],[Adjusted_ULife_PF]]=13,VLOOKUP(Table1[[#This Row],[Item_Platform]],[1]!Table2[#All],16,FALSE),0)</f>
        <v>0</v>
      </c>
      <c r="CC70" s="25">
        <f>SUM(Table1[[#This Row],[yr 13_wl]:[yr 13_pf]])</f>
        <v>0</v>
      </c>
      <c r="CD70" s="12"/>
    </row>
    <row r="71" spans="1:82" s="11" customFormat="1" x14ac:dyDescent="0.25">
      <c r="A71" s="11" t="str">
        <f>IF([1]Input_monitoring_data!A67="","",[1]Input_monitoring_data!A67)</f>
        <v>b6rc-4w72-nmm9</v>
      </c>
      <c r="B71" s="22" t="str">
        <f>[1]Input_monitoring_data!BH67</f>
        <v>Goamu</v>
      </c>
      <c r="C71" s="22" t="str">
        <f>[1]Input_monitoring_data!BI67</f>
        <v>Kensere</v>
      </c>
      <c r="D71" s="22" t="str">
        <f>[1]Input_monitoring_data!P67</f>
        <v>6.995761096776929</v>
      </c>
      <c r="E71" s="22" t="str">
        <f>[1]Input_monitoring_data!Q67</f>
        <v>-2.533867923065548</v>
      </c>
      <c r="F71" s="22" t="str">
        <f>[1]Input_monitoring_data!V67</f>
        <v>Nsu Kokoo Mu Just By The Roadside</v>
      </c>
      <c r="G71" s="23" t="str">
        <f>[1]Input_monitoring_data!U67</f>
        <v>Borehole</v>
      </c>
      <c r="H71" s="22">
        <f>[1]Input_monitoring_data!X67</f>
        <v>1987</v>
      </c>
      <c r="I71" s="21" t="str">
        <f>[1]Input_monitoring_data!AB67</f>
        <v>Borehole redevelopment</v>
      </c>
      <c r="J71" s="21">
        <f>[1]Input_monitoring_data!AC67</f>
        <v>0</v>
      </c>
      <c r="K71" s="23" t="str">
        <f>[1]Input_monitoring_data!W67</f>
        <v>AfriDev</v>
      </c>
      <c r="L71" s="22">
        <f>[1]Input_monitoring_data!X67</f>
        <v>1987</v>
      </c>
      <c r="M71" s="21">
        <f>IF([1]Input_monitoring_data!BL67&gt;'Point Sources_Asset_Register_'!L71,[1]Input_monitoring_data!BL67,"")</f>
        <v>2017</v>
      </c>
      <c r="N71" s="22" t="str">
        <f>[1]Input_monitoring_data!BQ67</f>
        <v>functional</v>
      </c>
      <c r="O71" s="22">
        <f>[1]Input_monitoring_data!AJ67</f>
        <v>0</v>
      </c>
      <c r="P71" s="23" t="s">
        <v>0</v>
      </c>
      <c r="Q71" s="22">
        <f>L71</f>
        <v>1987</v>
      </c>
      <c r="R71" s="21">
        <f>M71</f>
        <v>2017</v>
      </c>
      <c r="S71" s="20">
        <f>[1]Input_EUL_CRC_ERC!$B$17-Table1[[#This Row],[Year Installed_WL]]</f>
        <v>30</v>
      </c>
      <c r="T71" s="20">
        <f>[1]Input_EUL_CRC_ERC!$B$17-(IF(Table1[[#This Row],[Year Last_Rehab_WL ]]=0,Table1[[#This Row],[Year Installed_WL]],[1]Input_EUL_CRC_ERC!$B$17-Table1[[#This Row],[Year Last_Rehab_WL ]]))</f>
        <v>30</v>
      </c>
      <c r="U71" s="20">
        <f>(VLOOKUP(Table1[[#This Row],[Item_Rehab_WL]],[1]Input_EUL_CRC_ERC!$C$17:$E$27,2,FALSE)-Table1[[#This Row],[Last Rehab Age]])</f>
        <v>-15</v>
      </c>
      <c r="V71" s="19">
        <f>[1]Input_EUL_CRC_ERC!$B$17-Table1[[#This Row],[Year Installed_HP]]</f>
        <v>30</v>
      </c>
      <c r="W71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71" s="19">
        <f>[1]Input_EUL_CRC_ERC!$B$17-Table1[[#This Row],[Year Installed_PF]]</f>
        <v>30</v>
      </c>
      <c r="Y71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71" s="25">
        <f>IF(Table1[[#This Row],[Years_Next_Rehab_Well]]&lt;=0,VLOOKUP(Table1[[#This Row],[Item_Rehab_WL]],[1]!Table2[#All],3,FALSE),0)</f>
        <v>3666.6666666666665</v>
      </c>
      <c r="AA71" s="18">
        <f>IF(Table1[[#This Row],[Adjusted_ULife_HP]]&lt;=0,VLOOKUP(Table1[[#This Row],[Item_Handpump]],[1]!Table2[#All],3,FALSE),0)</f>
        <v>0</v>
      </c>
      <c r="AB71" s="18">
        <f>IF(Table1[[#This Row],[Adjusted_ULife_PF]]&lt;=0,VLOOKUP(Table1[[#This Row],[Item_Platform]],[1]!Table2[#All],3,FALSE),0)</f>
        <v>0</v>
      </c>
      <c r="AC71" s="18">
        <f>SUM(Table1[[#This Row],[current yr_wl]:[current yr_pf]])</f>
        <v>3666.6666666666665</v>
      </c>
      <c r="AD71" s="25">
        <f>IF(Table1[[#This Row],[Years_Next_Rehab_Well]]=1,VLOOKUP(Table1[[#This Row],[Item_Rehab_WL]],[1]!Table2[#All],4,FALSE),0)</f>
        <v>0</v>
      </c>
      <c r="AE71" s="25">
        <f>IF(Table1[[#This Row],[Adjusted_ULife_HP]]=1,VLOOKUP(Table1[[#This Row],[Item_Handpump]],[1]!Table2[#All],4,FALSE),0)</f>
        <v>0</v>
      </c>
      <c r="AF71" s="25">
        <f>IF(Table1[[#This Row],[Adjusted_ULife_PF]]=1,VLOOKUP(Table1[[#This Row],[Item_Platform]],[1]!Table2[#All],4,FALSE),0)</f>
        <v>0</v>
      </c>
      <c r="AG71" s="25">
        <f>SUM(Table1[[#This Row],[yr 1_wl]:[yr 1_pf]])</f>
        <v>0</v>
      </c>
      <c r="AH71" s="25">
        <f>IF(Table1[[#This Row],[Years_Next_Rehab_Well]]=2,VLOOKUP(Table1[[#This Row],[Item_Rehab_WL]],[1]!Table2[#All],5,FALSE),0)</f>
        <v>0</v>
      </c>
      <c r="AI71" s="25">
        <f>IF(Table1[[#This Row],[Adjusted_ULife_HP]]=2,VLOOKUP(Table1[[#This Row],[Item_Handpump]],[1]!Table2[#All],5,FALSE),0)</f>
        <v>0</v>
      </c>
      <c r="AJ71" s="25">
        <f>IF(Table1[[#This Row],[Adjusted_ULife_PF]]=2,VLOOKUP(Table1[[#This Row],[Item_Platform]],[1]!Table2[#All],5,FALSE),0)</f>
        <v>0</v>
      </c>
      <c r="AK71" s="25">
        <f>SUM(Table1[[#This Row],[yr 2_wl]:[yr 2_pf]])</f>
        <v>0</v>
      </c>
      <c r="AL71" s="25">
        <f>IF(Table1[[#This Row],[Years_Next_Rehab_Well]]=3,VLOOKUP(Table1[[#This Row],[Item_Rehab_WL]],[1]!Table2[#All],6,FALSE),0)</f>
        <v>0</v>
      </c>
      <c r="AM71" s="25">
        <f>IF(Table1[[#This Row],[Adjusted_ULife_HP]]=3,VLOOKUP(Table1[[#This Row],[Item_Handpump]],[1]!Table2[#All],6,FALSE),0)</f>
        <v>0</v>
      </c>
      <c r="AN71" s="25">
        <f>IF(Table1[[#This Row],[Adjusted_ULife_PF]]=3,VLOOKUP(Table1[[#This Row],[Item_Platform]],[1]!Table2[#All],6,FALSE),0)</f>
        <v>0</v>
      </c>
      <c r="AO71" s="25">
        <f>SUM(Table1[[#This Row],[yr 3_wl]:[yr 3_pf]])</f>
        <v>0</v>
      </c>
      <c r="AP71" s="25">
        <f>IF(Table1[[#This Row],[Years_Next_Rehab_Well]]=4,VLOOKUP(Table1[[#This Row],[Item_Rehab_WL]],[1]!Table2[#All],7,FALSE),0)</f>
        <v>0</v>
      </c>
      <c r="AQ71" s="25">
        <f>IF(Table1[[#This Row],[Adjusted_ULife_HP]]=4,VLOOKUP(Table1[[#This Row],[Item_Handpump]],[1]!Table2[#All],7,FALSE),0)</f>
        <v>0</v>
      </c>
      <c r="AR71" s="25">
        <f>IF(Table1[[#This Row],[Adjusted_ULife_PF]]=4,VLOOKUP(Table1[[#This Row],[Item_Platform]],[1]!Table2[#All],7,FALSE),0)</f>
        <v>0</v>
      </c>
      <c r="AS71" s="25">
        <f>SUM(Table1[[#This Row],[yr 4_wl]:[yr 4_pf]])</f>
        <v>0</v>
      </c>
      <c r="AT71" s="25">
        <f>IF(Table1[[#This Row],[Years_Next_Rehab_Well]]=5,VLOOKUP(Table1[[#This Row],[Item_Rehab_WL]],[1]!Table2[#All],8,FALSE),0)</f>
        <v>0</v>
      </c>
      <c r="AU71" s="25">
        <f>IF(Table1[[#This Row],[Adjusted_ULife_HP]]=5,VLOOKUP(Table1[[#This Row],[Item_Handpump]],[1]!Table2[#All],8,FALSE),0)</f>
        <v>0</v>
      </c>
      <c r="AV71" s="25">
        <f>IF(Table1[[#This Row],[Adjusted_ULife_PF]]=5,VLOOKUP(Table1[[#This Row],[Item_Platform]],[1]!Table2[#All],8,FALSE),0)</f>
        <v>0</v>
      </c>
      <c r="AW71" s="25">
        <f>SUM(Table1[[#This Row],[yr 5_wl]:[yr 5_pf]])</f>
        <v>0</v>
      </c>
      <c r="AX71" s="25">
        <f>IF(Table1[[#This Row],[Years_Next_Rehab_Well]]=6,VLOOKUP(Table1[[#This Row],[Item_Rehab_WL]],[1]!Table2[#All],9,FALSE),0)</f>
        <v>0</v>
      </c>
      <c r="AY71" s="25">
        <f>IF(Table1[[#This Row],[Adjusted_ULife_HP]]=6,VLOOKUP(Table1[[#This Row],[Item_Handpump]],[1]!Table2[#All],9,FALSE),0)</f>
        <v>0</v>
      </c>
      <c r="AZ71" s="25">
        <f>IF(Table1[[#This Row],[Adjusted_ULife_PF]]=6,VLOOKUP(Table1[[#This Row],[Item_Platform]],[1]!Table2[#All],9,FALSE),0)</f>
        <v>0</v>
      </c>
      <c r="BA71" s="25">
        <f>SUM(Table1[[#This Row],[yr 6_wl]:[yr 6_pf]])</f>
        <v>0</v>
      </c>
      <c r="BB71" s="25">
        <f>IF(Table1[[#This Row],[Years_Next_Rehab_Well]]=7,VLOOKUP(Table1[[#This Row],[Item_Rehab_WL]],[1]!Table2[#All],10,FALSE),0)</f>
        <v>0</v>
      </c>
      <c r="BC71" s="25">
        <f>IF(Table1[[#This Row],[Adjusted_ULife_HP]]=7,VLOOKUP(Table1[[#This Row],[Item_Handpump]],[1]!Table2[#All],10,FALSE),0)</f>
        <v>0</v>
      </c>
      <c r="BD71" s="25">
        <f>IF(Table1[[#This Row],[Adjusted_ULife_PF]]=7,VLOOKUP(Table1[[#This Row],[Item_Platform]],[1]!Table2[#All],10,FALSE),0)</f>
        <v>0</v>
      </c>
      <c r="BE71" s="25">
        <f>SUM(Table1[[#This Row],[yr 7_wl]:[yr 7_pf]])</f>
        <v>0</v>
      </c>
      <c r="BF71" s="25">
        <f>IF(Table1[[#This Row],[Years_Next_Rehab_Well]]=8,VLOOKUP(Table1[[#This Row],[Item_Rehab_WL]],[1]!Table2[#All],11,FALSE),0)</f>
        <v>0</v>
      </c>
      <c r="BG71" s="25">
        <f>IF(Table1[[#This Row],[Adjusted_ULife_HP]]=8,VLOOKUP(Table1[[#This Row],[Item_Handpump]],[1]!Table2[#All],11,FALSE),0)</f>
        <v>0</v>
      </c>
      <c r="BH71" s="25">
        <f>IF(Table1[[#This Row],[Adjusted_ULife_PF]]=8,VLOOKUP(Table1[[#This Row],[Item_Platform]],[1]!Table2[#All],11,FALSE),0)</f>
        <v>0</v>
      </c>
      <c r="BI71" s="25">
        <f>SUM(Table1[[#This Row],[yr 8_wl]:[yr 8_pf]])</f>
        <v>0</v>
      </c>
      <c r="BJ71" s="25">
        <f>IF(Table1[[#This Row],[Years_Next_Rehab_Well]]=9,VLOOKUP(Table1[[#This Row],[Item_Rehab_WL]],[1]!Table2[#All],12,FALSE),0)</f>
        <v>0</v>
      </c>
      <c r="BK71" s="25">
        <f>IF(Table1[[#This Row],[Adjusted_ULife_HP]]=9,VLOOKUP(Table1[[#This Row],[Item_Handpump]],[1]!Table2[#All],12,FALSE),0)</f>
        <v>0</v>
      </c>
      <c r="BL71" s="25">
        <f>IF(Table1[[#This Row],[Adjusted_ULife_PF]]=9,VLOOKUP(Table1[[#This Row],[Item_Platform]],[1]!Table2[#All],12,FALSE),0)</f>
        <v>0</v>
      </c>
      <c r="BM71" s="25">
        <f>SUM(Table1[[#This Row],[yr 9_wl]:[yr 9_pf]])</f>
        <v>0</v>
      </c>
      <c r="BN71" s="25">
        <f>IF(Table1[[#This Row],[Years_Next_Rehab_Well]]=10,VLOOKUP(Table1[[#This Row],[Item_Rehab_WL]],[1]!Table2[#All],13,FALSE),0)</f>
        <v>0</v>
      </c>
      <c r="BO71" s="25">
        <f>IF(Table1[[#This Row],[Adjusted_ULife_HP]]=10,VLOOKUP(Table1[[#This Row],[Item_Handpump]],[1]!Table2[#All],13,FALSE),0)</f>
        <v>0</v>
      </c>
      <c r="BP71" s="25">
        <f>IF(Table1[[#This Row],[Adjusted_ULife_PF]]=10,VLOOKUP(Table1[[#This Row],[Item_Platform]],[1]!Table2[#All],13,FALSE),0)</f>
        <v>4658.7723125163184</v>
      </c>
      <c r="BQ71" s="25">
        <f>SUM(Table1[[#This Row],[yr 10_wl]:[yr 10_pf]])</f>
        <v>4658.7723125163184</v>
      </c>
      <c r="BR71" s="25">
        <f>IF(Table1[[#This Row],[Years_Next_Rehab_Well]]=11,VLOOKUP(Table1[[#This Row],[Item_Rehab_WL]],[1]!Table2[#All],14,FALSE),0)</f>
        <v>0</v>
      </c>
      <c r="BS71" s="25">
        <f>IF(Table1[[#This Row],[Adjusted_ULife_HP]]=11,VLOOKUP(Table1[[#This Row],[Item_Handpump]],[1]!Table2[#All],14,FALSE),0)</f>
        <v>0</v>
      </c>
      <c r="BT71" s="25">
        <f>IF(Table1[[#This Row],[Adjusted_ULife_PF]]=11,VLOOKUP(Table1[[#This Row],[Item_Platform]],[1]!Table2[#All],14,FALSE),0)</f>
        <v>0</v>
      </c>
      <c r="BU71" s="25">
        <f>SUM(Table1[[#This Row],[yr 11_wl]:[yr 11_pf]])</f>
        <v>0</v>
      </c>
      <c r="BV71" s="25">
        <f>IF(Table1[[#This Row],[Years_Next_Rehab_Well]]=12,VLOOKUP(Table1[[#This Row],[Item_Rehab_WL]],[1]!Table2[#All],15,FALSE),0)</f>
        <v>0</v>
      </c>
      <c r="BW71" s="25">
        <f>IF(Table1[[#This Row],[Adjusted_ULife_HP]]=12,VLOOKUP(Table1[[#This Row],[Item_Handpump]],[1]!Table2[#All],15,FALSE),0)</f>
        <v>0</v>
      </c>
      <c r="BX71" s="25">
        <f>IF(Table1[[#This Row],[Adjusted_ULife_PF]]=12,VLOOKUP(Table1[[#This Row],[Item_Platform]],[1]!Table2[#All],15,FALSE),0)</f>
        <v>0</v>
      </c>
      <c r="BY71" s="25">
        <f>SUM(Table1[[#This Row],[yr 12_wl]:[yr 12_pf]])</f>
        <v>0</v>
      </c>
      <c r="BZ71" s="25">
        <f>IF(Table1[[#This Row],[Years_Next_Rehab_Well]]=13,VLOOKUP(Table1[[#This Row],[Item_Rehab_WL]],[1]!Table2[#All],16,FALSE),0)</f>
        <v>0</v>
      </c>
      <c r="CA71" s="25">
        <f>IF(Table1[[#This Row],[Adjusted_ULife_HP]]=13,VLOOKUP(Table1[[#This Row],[Item_Handpump]],[1]!Table2[#All],16,FALSE),0)</f>
        <v>0</v>
      </c>
      <c r="CB71" s="25">
        <f>IF(Table1[[#This Row],[Adjusted_ULife_PF]]=13,VLOOKUP(Table1[[#This Row],[Item_Platform]],[1]!Table2[#All],16,FALSE),0)</f>
        <v>0</v>
      </c>
      <c r="CC71" s="25">
        <f>SUM(Table1[[#This Row],[yr 13_wl]:[yr 13_pf]])</f>
        <v>0</v>
      </c>
      <c r="CD71" s="12"/>
    </row>
    <row r="72" spans="1:82" s="11" customFormat="1" x14ac:dyDescent="0.25">
      <c r="A72" s="11" t="str">
        <f>IF([1]Input_monitoring_data!A68="","",[1]Input_monitoring_data!A68)</f>
        <v>bbtm-kja1-n7jh</v>
      </c>
      <c r="B72" s="22" t="str">
        <f>[1]Input_monitoring_data!BH68</f>
        <v>Goamu</v>
      </c>
      <c r="C72" s="22" t="str">
        <f>[1]Input_monitoring_data!BI68</f>
        <v>Torkrom No.1</v>
      </c>
      <c r="D72" s="22" t="str">
        <f>[1]Input_monitoring_data!P68</f>
        <v>7.02725215646418</v>
      </c>
      <c r="E72" s="22" t="str">
        <f>[1]Input_monitoring_data!Q68</f>
        <v>-2.5416547524955138</v>
      </c>
      <c r="F72" s="22" t="str">
        <f>[1]Input_monitoring_data!V68</f>
        <v>Near Yaw Donkor's House</v>
      </c>
      <c r="G72" s="23" t="str">
        <f>[1]Input_monitoring_data!U68</f>
        <v>Borehole</v>
      </c>
      <c r="H72" s="22">
        <f>[1]Input_monitoring_data!X68</f>
        <v>2011</v>
      </c>
      <c r="I72" s="21" t="str">
        <f>[1]Input_monitoring_data!AB68</f>
        <v>Borehole redevelopment</v>
      </c>
      <c r="J72" s="21">
        <f>[1]Input_monitoring_data!AC68</f>
        <v>0</v>
      </c>
      <c r="K72" s="23" t="str">
        <f>[1]Input_monitoring_data!W68</f>
        <v>AfriDev</v>
      </c>
      <c r="L72" s="22">
        <f>[1]Input_monitoring_data!X68</f>
        <v>2011</v>
      </c>
      <c r="M72" s="21">
        <f>IF([1]Input_monitoring_data!BL68&gt;'Point Sources_Asset_Register_'!L72,[1]Input_monitoring_data!BL68,"")</f>
        <v>2016</v>
      </c>
      <c r="N72" s="22" t="str">
        <f>[1]Input_monitoring_data!BQ68</f>
        <v>functional</v>
      </c>
      <c r="O72" s="22">
        <f>[1]Input_monitoring_data!AJ68</f>
        <v>0</v>
      </c>
      <c r="P72" s="23" t="s">
        <v>0</v>
      </c>
      <c r="Q72" s="22">
        <f>L72</f>
        <v>2011</v>
      </c>
      <c r="R72" s="21">
        <f>M72</f>
        <v>2016</v>
      </c>
      <c r="S72" s="20">
        <f>[1]Input_EUL_CRC_ERC!$B$17-Table1[[#This Row],[Year Installed_WL]]</f>
        <v>6</v>
      </c>
      <c r="T72" s="20">
        <f>[1]Input_EUL_CRC_ERC!$B$17-(IF(Table1[[#This Row],[Year Last_Rehab_WL ]]=0,Table1[[#This Row],[Year Installed_WL]],[1]Input_EUL_CRC_ERC!$B$17-Table1[[#This Row],[Year Last_Rehab_WL ]]))</f>
        <v>6</v>
      </c>
      <c r="U72" s="20">
        <f>(VLOOKUP(Table1[[#This Row],[Item_Rehab_WL]],[1]Input_EUL_CRC_ERC!$C$17:$E$27,2,FALSE)-Table1[[#This Row],[Last Rehab Age]])</f>
        <v>9</v>
      </c>
      <c r="V72" s="19">
        <f>[1]Input_EUL_CRC_ERC!$B$17-Table1[[#This Row],[Year Installed_HP]]</f>
        <v>6</v>
      </c>
      <c r="W72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72" s="19">
        <f>[1]Input_EUL_CRC_ERC!$B$17-Table1[[#This Row],[Year Installed_PF]]</f>
        <v>6</v>
      </c>
      <c r="Y72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72" s="25">
        <f>IF(Table1[[#This Row],[Years_Next_Rehab_Well]]&lt;=0,VLOOKUP(Table1[[#This Row],[Item_Rehab_WL]],[1]!Table2[#All],3,FALSE),0)</f>
        <v>0</v>
      </c>
      <c r="AA72" s="18">
        <f>IF(Table1[[#This Row],[Adjusted_ULife_HP]]&lt;=0,VLOOKUP(Table1[[#This Row],[Item_Handpump]],[1]!Table2[#All],3,FALSE),0)</f>
        <v>0</v>
      </c>
      <c r="AB72" s="18">
        <f>IF(Table1[[#This Row],[Adjusted_ULife_PF]]&lt;=0,VLOOKUP(Table1[[#This Row],[Item_Platform]],[1]!Table2[#All],3,FALSE),0)</f>
        <v>0</v>
      </c>
      <c r="AC72" s="18">
        <f>SUM(Table1[[#This Row],[current yr_wl]:[current yr_pf]])</f>
        <v>0</v>
      </c>
      <c r="AD72" s="25">
        <f>IF(Table1[[#This Row],[Years_Next_Rehab_Well]]=1,VLOOKUP(Table1[[#This Row],[Item_Rehab_WL]],[1]!Table2[#All],4,FALSE),0)</f>
        <v>0</v>
      </c>
      <c r="AE72" s="25">
        <f>IF(Table1[[#This Row],[Adjusted_ULife_HP]]=1,VLOOKUP(Table1[[#This Row],[Item_Handpump]],[1]!Table2[#All],4,FALSE),0)</f>
        <v>0</v>
      </c>
      <c r="AF72" s="25">
        <f>IF(Table1[[#This Row],[Adjusted_ULife_PF]]=1,VLOOKUP(Table1[[#This Row],[Item_Platform]],[1]!Table2[#All],4,FALSE),0)</f>
        <v>0</v>
      </c>
      <c r="AG72" s="25">
        <f>SUM(Table1[[#This Row],[yr 1_wl]:[yr 1_pf]])</f>
        <v>0</v>
      </c>
      <c r="AH72" s="25">
        <f>IF(Table1[[#This Row],[Years_Next_Rehab_Well]]=2,VLOOKUP(Table1[[#This Row],[Item_Rehab_WL]],[1]!Table2[#All],5,FALSE),0)</f>
        <v>0</v>
      </c>
      <c r="AI72" s="25">
        <f>IF(Table1[[#This Row],[Adjusted_ULife_HP]]=2,VLOOKUP(Table1[[#This Row],[Item_Handpump]],[1]!Table2[#All],5,FALSE),0)</f>
        <v>0</v>
      </c>
      <c r="AJ72" s="25">
        <f>IF(Table1[[#This Row],[Adjusted_ULife_PF]]=2,VLOOKUP(Table1[[#This Row],[Item_Platform]],[1]!Table2[#All],5,FALSE),0)</f>
        <v>0</v>
      </c>
      <c r="AK72" s="25">
        <f>SUM(Table1[[#This Row],[yr 2_wl]:[yr 2_pf]])</f>
        <v>0</v>
      </c>
      <c r="AL72" s="25">
        <f>IF(Table1[[#This Row],[Years_Next_Rehab_Well]]=3,VLOOKUP(Table1[[#This Row],[Item_Rehab_WL]],[1]!Table2[#All],6,FALSE),0)</f>
        <v>0</v>
      </c>
      <c r="AM72" s="25">
        <f>IF(Table1[[#This Row],[Adjusted_ULife_HP]]=3,VLOOKUP(Table1[[#This Row],[Item_Handpump]],[1]!Table2[#All],6,FALSE),0)</f>
        <v>0</v>
      </c>
      <c r="AN72" s="25">
        <f>IF(Table1[[#This Row],[Adjusted_ULife_PF]]=3,VLOOKUP(Table1[[#This Row],[Item_Platform]],[1]!Table2[#All],6,FALSE),0)</f>
        <v>0</v>
      </c>
      <c r="AO72" s="25">
        <f>SUM(Table1[[#This Row],[yr 3_wl]:[yr 3_pf]])</f>
        <v>0</v>
      </c>
      <c r="AP72" s="25">
        <f>IF(Table1[[#This Row],[Years_Next_Rehab_Well]]=4,VLOOKUP(Table1[[#This Row],[Item_Rehab_WL]],[1]!Table2[#All],7,FALSE),0)</f>
        <v>0</v>
      </c>
      <c r="AQ72" s="25">
        <f>IF(Table1[[#This Row],[Adjusted_ULife_HP]]=4,VLOOKUP(Table1[[#This Row],[Item_Handpump]],[1]!Table2[#All],7,FALSE),0)</f>
        <v>0</v>
      </c>
      <c r="AR72" s="25">
        <f>IF(Table1[[#This Row],[Adjusted_ULife_PF]]=4,VLOOKUP(Table1[[#This Row],[Item_Platform]],[1]!Table2[#All],7,FALSE),0)</f>
        <v>0</v>
      </c>
      <c r="AS72" s="25">
        <f>SUM(Table1[[#This Row],[yr 4_wl]:[yr 4_pf]])</f>
        <v>0</v>
      </c>
      <c r="AT72" s="25">
        <f>IF(Table1[[#This Row],[Years_Next_Rehab_Well]]=5,VLOOKUP(Table1[[#This Row],[Item_Rehab_WL]],[1]!Table2[#All],8,FALSE),0)</f>
        <v>0</v>
      </c>
      <c r="AU72" s="25">
        <f>IF(Table1[[#This Row],[Adjusted_ULife_HP]]=5,VLOOKUP(Table1[[#This Row],[Item_Handpump]],[1]!Table2[#All],8,FALSE),0)</f>
        <v>0</v>
      </c>
      <c r="AV72" s="25">
        <f>IF(Table1[[#This Row],[Adjusted_ULife_PF]]=5,VLOOKUP(Table1[[#This Row],[Item_Platform]],[1]!Table2[#All],8,FALSE),0)</f>
        <v>0</v>
      </c>
      <c r="AW72" s="25">
        <f>SUM(Table1[[#This Row],[yr 5_wl]:[yr 5_pf]])</f>
        <v>0</v>
      </c>
      <c r="AX72" s="25">
        <f>IF(Table1[[#This Row],[Years_Next_Rehab_Well]]=6,VLOOKUP(Table1[[#This Row],[Item_Rehab_WL]],[1]!Table2[#All],9,FALSE),0)</f>
        <v>0</v>
      </c>
      <c r="AY72" s="25">
        <f>IF(Table1[[#This Row],[Adjusted_ULife_HP]]=6,VLOOKUP(Table1[[#This Row],[Item_Handpump]],[1]!Table2[#All],9,FALSE),0)</f>
        <v>0</v>
      </c>
      <c r="AZ72" s="25">
        <f>IF(Table1[[#This Row],[Adjusted_ULife_PF]]=6,VLOOKUP(Table1[[#This Row],[Item_Platform]],[1]!Table2[#All],9,FALSE),0)</f>
        <v>0</v>
      </c>
      <c r="BA72" s="25">
        <f>SUM(Table1[[#This Row],[yr 6_wl]:[yr 6_pf]])</f>
        <v>0</v>
      </c>
      <c r="BB72" s="25">
        <f>IF(Table1[[#This Row],[Years_Next_Rehab_Well]]=7,VLOOKUP(Table1[[#This Row],[Item_Rehab_WL]],[1]!Table2[#All],10,FALSE),0)</f>
        <v>0</v>
      </c>
      <c r="BC72" s="25">
        <f>IF(Table1[[#This Row],[Adjusted_ULife_HP]]=7,VLOOKUP(Table1[[#This Row],[Item_Handpump]],[1]!Table2[#All],10,FALSE),0)</f>
        <v>0</v>
      </c>
      <c r="BD72" s="25">
        <f>IF(Table1[[#This Row],[Adjusted_ULife_PF]]=7,VLOOKUP(Table1[[#This Row],[Item_Platform]],[1]!Table2[#All],10,FALSE),0)</f>
        <v>0</v>
      </c>
      <c r="BE72" s="25">
        <f>SUM(Table1[[#This Row],[yr 7_wl]:[yr 7_pf]])</f>
        <v>0</v>
      </c>
      <c r="BF72" s="25">
        <f>IF(Table1[[#This Row],[Years_Next_Rehab_Well]]=8,VLOOKUP(Table1[[#This Row],[Item_Rehab_WL]],[1]!Table2[#All],11,FALSE),0)</f>
        <v>0</v>
      </c>
      <c r="BG72" s="25">
        <f>IF(Table1[[#This Row],[Adjusted_ULife_HP]]=8,VLOOKUP(Table1[[#This Row],[Item_Handpump]],[1]!Table2[#All],11,FALSE),0)</f>
        <v>0</v>
      </c>
      <c r="BH72" s="25">
        <f>IF(Table1[[#This Row],[Adjusted_ULife_PF]]=8,VLOOKUP(Table1[[#This Row],[Item_Platform]],[1]!Table2[#All],11,FALSE),0)</f>
        <v>0</v>
      </c>
      <c r="BI72" s="25">
        <f>SUM(Table1[[#This Row],[yr 8_wl]:[yr 8_pf]])</f>
        <v>0</v>
      </c>
      <c r="BJ72" s="25">
        <f>IF(Table1[[#This Row],[Years_Next_Rehab_Well]]=9,VLOOKUP(Table1[[#This Row],[Item_Rehab_WL]],[1]!Table2[#All],12,FALSE),0)</f>
        <v>10167.955443984027</v>
      </c>
      <c r="BK72" s="25">
        <f>IF(Table1[[#This Row],[Adjusted_ULife_HP]]=9,VLOOKUP(Table1[[#This Row],[Item_Handpump]],[1]!Table2[#All],12,FALSE),0)</f>
        <v>0</v>
      </c>
      <c r="BL72" s="25">
        <f>IF(Table1[[#This Row],[Adjusted_ULife_PF]]=9,VLOOKUP(Table1[[#This Row],[Item_Platform]],[1]!Table2[#All],12,FALSE),0)</f>
        <v>4159.6181361752842</v>
      </c>
      <c r="BM72" s="25">
        <f>SUM(Table1[[#This Row],[yr 9_wl]:[yr 9_pf]])</f>
        <v>14327.573580159311</v>
      </c>
      <c r="BN72" s="25">
        <f>IF(Table1[[#This Row],[Years_Next_Rehab_Well]]=10,VLOOKUP(Table1[[#This Row],[Item_Rehab_WL]],[1]!Table2[#All],13,FALSE),0)</f>
        <v>0</v>
      </c>
      <c r="BO72" s="25">
        <f>IF(Table1[[#This Row],[Adjusted_ULife_HP]]=10,VLOOKUP(Table1[[#This Row],[Item_Handpump]],[1]!Table2[#All],13,FALSE),0)</f>
        <v>0</v>
      </c>
      <c r="BP72" s="25">
        <f>IF(Table1[[#This Row],[Adjusted_ULife_PF]]=10,VLOOKUP(Table1[[#This Row],[Item_Platform]],[1]!Table2[#All],13,FALSE),0)</f>
        <v>0</v>
      </c>
      <c r="BQ72" s="25">
        <f>SUM(Table1[[#This Row],[yr 10_wl]:[yr 10_pf]])</f>
        <v>0</v>
      </c>
      <c r="BR72" s="25">
        <f>IF(Table1[[#This Row],[Years_Next_Rehab_Well]]=11,VLOOKUP(Table1[[#This Row],[Item_Rehab_WL]],[1]!Table2[#All],14,FALSE),0)</f>
        <v>0</v>
      </c>
      <c r="BS72" s="25">
        <f>IF(Table1[[#This Row],[Adjusted_ULife_HP]]=11,VLOOKUP(Table1[[#This Row],[Item_Handpump]],[1]!Table2[#All],14,FALSE),0)</f>
        <v>0</v>
      </c>
      <c r="BT72" s="25">
        <f>IF(Table1[[#This Row],[Adjusted_ULife_PF]]=11,VLOOKUP(Table1[[#This Row],[Item_Platform]],[1]!Table2[#All],14,FALSE),0)</f>
        <v>0</v>
      </c>
      <c r="BU72" s="25">
        <f>SUM(Table1[[#This Row],[yr 11_wl]:[yr 11_pf]])</f>
        <v>0</v>
      </c>
      <c r="BV72" s="25">
        <f>IF(Table1[[#This Row],[Years_Next_Rehab_Well]]=12,VLOOKUP(Table1[[#This Row],[Item_Rehab_WL]],[1]!Table2[#All],15,FALSE),0)</f>
        <v>0</v>
      </c>
      <c r="BW72" s="25">
        <f>IF(Table1[[#This Row],[Adjusted_ULife_HP]]=12,VLOOKUP(Table1[[#This Row],[Item_Handpump]],[1]!Table2[#All],15,FALSE),0)</f>
        <v>0</v>
      </c>
      <c r="BX72" s="25">
        <f>IF(Table1[[#This Row],[Adjusted_ULife_PF]]=12,VLOOKUP(Table1[[#This Row],[Item_Platform]],[1]!Table2[#All],15,FALSE),0)</f>
        <v>0</v>
      </c>
      <c r="BY72" s="25">
        <f>SUM(Table1[[#This Row],[yr 12_wl]:[yr 12_pf]])</f>
        <v>0</v>
      </c>
      <c r="BZ72" s="25">
        <f>IF(Table1[[#This Row],[Years_Next_Rehab_Well]]=13,VLOOKUP(Table1[[#This Row],[Item_Rehab_WL]],[1]!Table2[#All],16,FALSE),0)</f>
        <v>0</v>
      </c>
      <c r="CA72" s="25">
        <f>IF(Table1[[#This Row],[Adjusted_ULife_HP]]=13,VLOOKUP(Table1[[#This Row],[Item_Handpump]],[1]!Table2[#All],16,FALSE),0)</f>
        <v>0</v>
      </c>
      <c r="CB72" s="25">
        <f>IF(Table1[[#This Row],[Adjusted_ULife_PF]]=13,VLOOKUP(Table1[[#This Row],[Item_Platform]],[1]!Table2[#All],16,FALSE),0)</f>
        <v>0</v>
      </c>
      <c r="CC72" s="25">
        <f>SUM(Table1[[#This Row],[yr 13_wl]:[yr 13_pf]])</f>
        <v>0</v>
      </c>
      <c r="CD72" s="12"/>
    </row>
    <row r="73" spans="1:82" s="11" customFormat="1" x14ac:dyDescent="0.25">
      <c r="A73" s="11" t="str">
        <f>IF([1]Input_monitoring_data!A69="","",[1]Input_monitoring_data!A69)</f>
        <v>bd9u-57fr-u2ng</v>
      </c>
      <c r="B73" s="22" t="str">
        <f>[1]Input_monitoring_data!BH69</f>
        <v>GOAMU</v>
      </c>
      <c r="C73" s="22" t="str">
        <f>[1]Input_monitoring_data!BI69</f>
        <v>FOREST ANO</v>
      </c>
      <c r="D73" s="22" t="str">
        <f>[1]Input_monitoring_data!P69</f>
        <v>7.090738038674637</v>
      </c>
      <c r="E73" s="22" t="str">
        <f>[1]Input_monitoring_data!Q69</f>
        <v>-2.4248936743641774</v>
      </c>
      <c r="F73" s="22" t="str">
        <f>[1]Input_monitoring_data!V69</f>
        <v>Nweneso community  Forest Ano 2</v>
      </c>
      <c r="G73" s="23" t="str">
        <f>[1]Input_monitoring_data!U69</f>
        <v>Borehole</v>
      </c>
      <c r="H73" s="22">
        <f>[1]Input_monitoring_data!X69</f>
        <v>2017</v>
      </c>
      <c r="I73" s="21" t="str">
        <f>[1]Input_monitoring_data!AB69</f>
        <v>Borehole redevelopment</v>
      </c>
      <c r="J73" s="21">
        <f>[1]Input_monitoring_data!AC69</f>
        <v>0</v>
      </c>
      <c r="K73" s="23" t="str">
        <f>[1]Input_monitoring_data!W69</f>
        <v>AfriDev</v>
      </c>
      <c r="L73" s="22">
        <f>[1]Input_monitoring_data!X69</f>
        <v>2017</v>
      </c>
      <c r="M73" s="21" t="str">
        <f>IF([1]Input_monitoring_data!BL69&gt;'Point Sources_Asset_Register_'!L73,[1]Input_monitoring_data!BL69,"")</f>
        <v/>
      </c>
      <c r="N73" s="22" t="str">
        <f>[1]Input_monitoring_data!BQ69</f>
        <v>functional</v>
      </c>
      <c r="O73" s="22">
        <f>[1]Input_monitoring_data!AJ69</f>
        <v>0</v>
      </c>
      <c r="P73" s="23" t="s">
        <v>0</v>
      </c>
      <c r="Q73" s="22">
        <f>L73</f>
        <v>2017</v>
      </c>
      <c r="R73" s="21" t="str">
        <f>M73</f>
        <v/>
      </c>
      <c r="S73" s="20">
        <f>[1]Input_EUL_CRC_ERC!$B$17-Table1[[#This Row],[Year Installed_WL]]</f>
        <v>0</v>
      </c>
      <c r="T73" s="20">
        <f>[1]Input_EUL_CRC_ERC!$B$17-(IF(Table1[[#This Row],[Year Last_Rehab_WL ]]=0,Table1[[#This Row],[Year Installed_WL]],[1]Input_EUL_CRC_ERC!$B$17-Table1[[#This Row],[Year Last_Rehab_WL ]]))</f>
        <v>0</v>
      </c>
      <c r="U73" s="20">
        <f>(VLOOKUP(Table1[[#This Row],[Item_Rehab_WL]],[1]Input_EUL_CRC_ERC!$C$17:$E$27,2,FALSE)-Table1[[#This Row],[Last Rehab Age]])</f>
        <v>15</v>
      </c>
      <c r="V73" s="19">
        <f>[1]Input_EUL_CRC_ERC!$B$17-Table1[[#This Row],[Year Installed_HP]]</f>
        <v>0</v>
      </c>
      <c r="W73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73" s="19">
        <f>[1]Input_EUL_CRC_ERC!$B$17-Table1[[#This Row],[Year Installed_PF]]</f>
        <v>0</v>
      </c>
      <c r="Y73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73" s="25">
        <f>IF(Table1[[#This Row],[Years_Next_Rehab_Well]]&lt;=0,VLOOKUP(Table1[[#This Row],[Item_Rehab_WL]],[1]!Table2[#All],3,FALSE),0)</f>
        <v>0</v>
      </c>
      <c r="AA73" s="18">
        <f>IF(Table1[[#This Row],[Adjusted_ULife_HP]]&lt;=0,VLOOKUP(Table1[[#This Row],[Item_Handpump]],[1]!Table2[#All],3,FALSE),0)</f>
        <v>0</v>
      </c>
      <c r="AB73" s="18">
        <f>IF(Table1[[#This Row],[Adjusted_ULife_PF]]&lt;=0,VLOOKUP(Table1[[#This Row],[Item_Platform]],[1]!Table2[#All],3,FALSE),0)</f>
        <v>0</v>
      </c>
      <c r="AC73" s="18">
        <f>SUM(Table1[[#This Row],[current yr_wl]:[current yr_pf]])</f>
        <v>0</v>
      </c>
      <c r="AD73" s="25">
        <f>IF(Table1[[#This Row],[Years_Next_Rehab_Well]]=1,VLOOKUP(Table1[[#This Row],[Item_Rehab_WL]],[1]!Table2[#All],4,FALSE),0)</f>
        <v>0</v>
      </c>
      <c r="AE73" s="25">
        <f>IF(Table1[[#This Row],[Adjusted_ULife_HP]]=1,VLOOKUP(Table1[[#This Row],[Item_Handpump]],[1]!Table2[#All],4,FALSE),0)</f>
        <v>0</v>
      </c>
      <c r="AF73" s="25">
        <f>IF(Table1[[#This Row],[Adjusted_ULife_PF]]=1,VLOOKUP(Table1[[#This Row],[Item_Platform]],[1]!Table2[#All],4,FALSE),0)</f>
        <v>0</v>
      </c>
      <c r="AG73" s="25">
        <f>SUM(Table1[[#This Row],[yr 1_wl]:[yr 1_pf]])</f>
        <v>0</v>
      </c>
      <c r="AH73" s="25">
        <f>IF(Table1[[#This Row],[Years_Next_Rehab_Well]]=2,VLOOKUP(Table1[[#This Row],[Item_Rehab_WL]],[1]!Table2[#All],5,FALSE),0)</f>
        <v>0</v>
      </c>
      <c r="AI73" s="25">
        <f>IF(Table1[[#This Row],[Adjusted_ULife_HP]]=2,VLOOKUP(Table1[[#This Row],[Item_Handpump]],[1]!Table2[#All],5,FALSE),0)</f>
        <v>0</v>
      </c>
      <c r="AJ73" s="25">
        <f>IF(Table1[[#This Row],[Adjusted_ULife_PF]]=2,VLOOKUP(Table1[[#This Row],[Item_Platform]],[1]!Table2[#All],5,FALSE),0)</f>
        <v>0</v>
      </c>
      <c r="AK73" s="25">
        <f>SUM(Table1[[#This Row],[yr 2_wl]:[yr 2_pf]])</f>
        <v>0</v>
      </c>
      <c r="AL73" s="25">
        <f>IF(Table1[[#This Row],[Years_Next_Rehab_Well]]=3,VLOOKUP(Table1[[#This Row],[Item_Rehab_WL]],[1]!Table2[#All],6,FALSE),0)</f>
        <v>0</v>
      </c>
      <c r="AM73" s="25">
        <f>IF(Table1[[#This Row],[Adjusted_ULife_HP]]=3,VLOOKUP(Table1[[#This Row],[Item_Handpump]],[1]!Table2[#All],6,FALSE),0)</f>
        <v>0</v>
      </c>
      <c r="AN73" s="25">
        <f>IF(Table1[[#This Row],[Adjusted_ULife_PF]]=3,VLOOKUP(Table1[[#This Row],[Item_Platform]],[1]!Table2[#All],6,FALSE),0)</f>
        <v>0</v>
      </c>
      <c r="AO73" s="25">
        <f>SUM(Table1[[#This Row],[yr 3_wl]:[yr 3_pf]])</f>
        <v>0</v>
      </c>
      <c r="AP73" s="25">
        <f>IF(Table1[[#This Row],[Years_Next_Rehab_Well]]=4,VLOOKUP(Table1[[#This Row],[Item_Rehab_WL]],[1]!Table2[#All],7,FALSE),0)</f>
        <v>0</v>
      </c>
      <c r="AQ73" s="25">
        <f>IF(Table1[[#This Row],[Adjusted_ULife_HP]]=4,VLOOKUP(Table1[[#This Row],[Item_Handpump]],[1]!Table2[#All],7,FALSE),0)</f>
        <v>0</v>
      </c>
      <c r="AR73" s="25">
        <f>IF(Table1[[#This Row],[Adjusted_ULife_PF]]=4,VLOOKUP(Table1[[#This Row],[Item_Platform]],[1]!Table2[#All],7,FALSE),0)</f>
        <v>0</v>
      </c>
      <c r="AS73" s="25">
        <f>SUM(Table1[[#This Row],[yr 4_wl]:[yr 4_pf]])</f>
        <v>0</v>
      </c>
      <c r="AT73" s="25">
        <f>IF(Table1[[#This Row],[Years_Next_Rehab_Well]]=5,VLOOKUP(Table1[[#This Row],[Item_Rehab_WL]],[1]!Table2[#All],8,FALSE),0)</f>
        <v>0</v>
      </c>
      <c r="AU73" s="25">
        <f>IF(Table1[[#This Row],[Adjusted_ULife_HP]]=5,VLOOKUP(Table1[[#This Row],[Item_Handpump]],[1]!Table2[#All],8,FALSE),0)</f>
        <v>0</v>
      </c>
      <c r="AV73" s="25">
        <f>IF(Table1[[#This Row],[Adjusted_ULife_PF]]=5,VLOOKUP(Table1[[#This Row],[Item_Platform]],[1]!Table2[#All],8,FALSE),0)</f>
        <v>0</v>
      </c>
      <c r="AW73" s="25">
        <f>SUM(Table1[[#This Row],[yr 5_wl]:[yr 5_pf]])</f>
        <v>0</v>
      </c>
      <c r="AX73" s="25">
        <f>IF(Table1[[#This Row],[Years_Next_Rehab_Well]]=6,VLOOKUP(Table1[[#This Row],[Item_Rehab_WL]],[1]!Table2[#All],9,FALSE),0)</f>
        <v>0</v>
      </c>
      <c r="AY73" s="25">
        <f>IF(Table1[[#This Row],[Adjusted_ULife_HP]]=6,VLOOKUP(Table1[[#This Row],[Item_Handpump]],[1]!Table2[#All],9,FALSE),0)</f>
        <v>0</v>
      </c>
      <c r="AZ73" s="25">
        <f>IF(Table1[[#This Row],[Adjusted_ULife_PF]]=6,VLOOKUP(Table1[[#This Row],[Item_Platform]],[1]!Table2[#All],9,FALSE),0)</f>
        <v>0</v>
      </c>
      <c r="BA73" s="25">
        <f>SUM(Table1[[#This Row],[yr 6_wl]:[yr 6_pf]])</f>
        <v>0</v>
      </c>
      <c r="BB73" s="25">
        <f>IF(Table1[[#This Row],[Years_Next_Rehab_Well]]=7,VLOOKUP(Table1[[#This Row],[Item_Rehab_WL]],[1]!Table2[#All],10,FALSE),0)</f>
        <v>0</v>
      </c>
      <c r="BC73" s="25">
        <f>IF(Table1[[#This Row],[Adjusted_ULife_HP]]=7,VLOOKUP(Table1[[#This Row],[Item_Handpump]],[1]!Table2[#All],10,FALSE),0)</f>
        <v>0</v>
      </c>
      <c r="BD73" s="25">
        <f>IF(Table1[[#This Row],[Adjusted_ULife_PF]]=7,VLOOKUP(Table1[[#This Row],[Item_Platform]],[1]!Table2[#All],10,FALSE),0)</f>
        <v>0</v>
      </c>
      <c r="BE73" s="25">
        <f>SUM(Table1[[#This Row],[yr 7_wl]:[yr 7_pf]])</f>
        <v>0</v>
      </c>
      <c r="BF73" s="25">
        <f>IF(Table1[[#This Row],[Years_Next_Rehab_Well]]=8,VLOOKUP(Table1[[#This Row],[Item_Rehab_WL]],[1]!Table2[#All],11,FALSE),0)</f>
        <v>0</v>
      </c>
      <c r="BG73" s="25">
        <f>IF(Table1[[#This Row],[Adjusted_ULife_HP]]=8,VLOOKUP(Table1[[#This Row],[Item_Handpump]],[1]!Table2[#All],11,FALSE),0)</f>
        <v>0</v>
      </c>
      <c r="BH73" s="25">
        <f>IF(Table1[[#This Row],[Adjusted_ULife_PF]]=8,VLOOKUP(Table1[[#This Row],[Item_Platform]],[1]!Table2[#All],11,FALSE),0)</f>
        <v>0</v>
      </c>
      <c r="BI73" s="25">
        <f>SUM(Table1[[#This Row],[yr 8_wl]:[yr 8_pf]])</f>
        <v>0</v>
      </c>
      <c r="BJ73" s="25">
        <f>IF(Table1[[#This Row],[Years_Next_Rehab_Well]]=9,VLOOKUP(Table1[[#This Row],[Item_Rehab_WL]],[1]!Table2[#All],12,FALSE),0)</f>
        <v>0</v>
      </c>
      <c r="BK73" s="25">
        <f>IF(Table1[[#This Row],[Adjusted_ULife_HP]]=9,VLOOKUP(Table1[[#This Row],[Item_Handpump]],[1]!Table2[#All],12,FALSE),0)</f>
        <v>0</v>
      </c>
      <c r="BL73" s="25">
        <f>IF(Table1[[#This Row],[Adjusted_ULife_PF]]=9,VLOOKUP(Table1[[#This Row],[Item_Platform]],[1]!Table2[#All],12,FALSE),0)</f>
        <v>0</v>
      </c>
      <c r="BM73" s="25">
        <f>SUM(Table1[[#This Row],[yr 9_wl]:[yr 9_pf]])</f>
        <v>0</v>
      </c>
      <c r="BN73" s="25">
        <f>IF(Table1[[#This Row],[Years_Next_Rehab_Well]]=10,VLOOKUP(Table1[[#This Row],[Item_Rehab_WL]],[1]!Table2[#All],13,FALSE),0)</f>
        <v>0</v>
      </c>
      <c r="BO73" s="25">
        <f>IF(Table1[[#This Row],[Adjusted_ULife_HP]]=10,VLOOKUP(Table1[[#This Row],[Item_Handpump]],[1]!Table2[#All],13,FALSE),0)</f>
        <v>0</v>
      </c>
      <c r="BP73" s="25">
        <f>IF(Table1[[#This Row],[Adjusted_ULife_PF]]=10,VLOOKUP(Table1[[#This Row],[Item_Platform]],[1]!Table2[#All],13,FALSE),0)</f>
        <v>4658.7723125163184</v>
      </c>
      <c r="BQ73" s="25">
        <f>SUM(Table1[[#This Row],[yr 10_wl]:[yr 10_pf]])</f>
        <v>4658.7723125163184</v>
      </c>
      <c r="BR73" s="25">
        <f>IF(Table1[[#This Row],[Years_Next_Rehab_Well]]=11,VLOOKUP(Table1[[#This Row],[Item_Rehab_WL]],[1]!Table2[#All],14,FALSE),0)</f>
        <v>0</v>
      </c>
      <c r="BS73" s="25">
        <f>IF(Table1[[#This Row],[Adjusted_ULife_HP]]=11,VLOOKUP(Table1[[#This Row],[Item_Handpump]],[1]!Table2[#All],14,FALSE),0)</f>
        <v>0</v>
      </c>
      <c r="BT73" s="25">
        <f>IF(Table1[[#This Row],[Adjusted_ULife_PF]]=11,VLOOKUP(Table1[[#This Row],[Item_Platform]],[1]!Table2[#All],14,FALSE),0)</f>
        <v>0</v>
      </c>
      <c r="BU73" s="25">
        <f>SUM(Table1[[#This Row],[yr 11_wl]:[yr 11_pf]])</f>
        <v>0</v>
      </c>
      <c r="BV73" s="25">
        <f>IF(Table1[[#This Row],[Years_Next_Rehab_Well]]=12,VLOOKUP(Table1[[#This Row],[Item_Rehab_WL]],[1]!Table2[#All],15,FALSE),0)</f>
        <v>0</v>
      </c>
      <c r="BW73" s="25">
        <f>IF(Table1[[#This Row],[Adjusted_ULife_HP]]=12,VLOOKUP(Table1[[#This Row],[Item_Handpump]],[1]!Table2[#All],15,FALSE),0)</f>
        <v>0</v>
      </c>
      <c r="BX73" s="25">
        <f>IF(Table1[[#This Row],[Adjusted_ULife_PF]]=12,VLOOKUP(Table1[[#This Row],[Item_Platform]],[1]!Table2[#All],15,FALSE),0)</f>
        <v>0</v>
      </c>
      <c r="BY73" s="25">
        <f>SUM(Table1[[#This Row],[yr 12_wl]:[yr 12_pf]])</f>
        <v>0</v>
      </c>
      <c r="BZ73" s="25">
        <f>IF(Table1[[#This Row],[Years_Next_Rehab_Well]]=13,VLOOKUP(Table1[[#This Row],[Item_Rehab_WL]],[1]!Table2[#All],16,FALSE),0)</f>
        <v>0</v>
      </c>
      <c r="CA73" s="25">
        <f>IF(Table1[[#This Row],[Adjusted_ULife_HP]]=13,VLOOKUP(Table1[[#This Row],[Item_Handpump]],[1]!Table2[#All],16,FALSE),0)</f>
        <v>0</v>
      </c>
      <c r="CB73" s="25">
        <f>IF(Table1[[#This Row],[Adjusted_ULife_PF]]=13,VLOOKUP(Table1[[#This Row],[Item_Platform]],[1]!Table2[#All],16,FALSE),0)</f>
        <v>0</v>
      </c>
      <c r="CC73" s="25">
        <f>SUM(Table1[[#This Row],[yr 13_wl]:[yr 13_pf]])</f>
        <v>0</v>
      </c>
      <c r="CD73" s="12"/>
    </row>
    <row r="74" spans="1:82" s="11" customFormat="1" x14ac:dyDescent="0.25">
      <c r="A74" s="11" t="str">
        <f>IF([1]Input_monitoring_data!A70="","",[1]Input_monitoring_data!A70)</f>
        <v>bgst-3y8w-rk0m</v>
      </c>
      <c r="B74" s="22" t="str">
        <f>[1]Input_monitoring_data!BH70</f>
        <v>Gambia</v>
      </c>
      <c r="C74" s="22" t="str">
        <f>[1]Input_monitoring_data!BI70</f>
        <v>Kwadwo Addaikrom</v>
      </c>
      <c r="D74" s="22" t="str">
        <f>[1]Input_monitoring_data!P70</f>
        <v>7.087905863465312</v>
      </c>
      <c r="E74" s="22" t="str">
        <f>[1]Input_monitoring_data!Q70</f>
        <v>-2.6840779798810455</v>
      </c>
      <c r="F74" s="22" t="str">
        <f>[1]Input_monitoring_data!V70</f>
        <v>Near Kwabena Insia's House</v>
      </c>
      <c r="G74" s="23" t="str">
        <f>[1]Input_monitoring_data!U70</f>
        <v>Borehole</v>
      </c>
      <c r="H74" s="22">
        <f>[1]Input_monitoring_data!X70</f>
        <v>2012</v>
      </c>
      <c r="I74" s="21" t="str">
        <f>[1]Input_monitoring_data!AB70</f>
        <v>Borehole redevelopment</v>
      </c>
      <c r="J74" s="21">
        <f>[1]Input_monitoring_data!AC70</f>
        <v>0</v>
      </c>
      <c r="K74" s="23" t="str">
        <f>[1]Input_monitoring_data!W70</f>
        <v>AfriDev</v>
      </c>
      <c r="L74" s="22">
        <f>[1]Input_monitoring_data!X70</f>
        <v>2012</v>
      </c>
      <c r="M74" s="21" t="str">
        <f>IF([1]Input_monitoring_data!BL70&gt;'Point Sources_Asset_Register_'!L74,[1]Input_monitoring_data!BL70,"")</f>
        <v/>
      </c>
      <c r="N74" s="22" t="str">
        <f>[1]Input_monitoring_data!BQ70</f>
        <v>functional</v>
      </c>
      <c r="O74" s="22">
        <f>[1]Input_monitoring_data!AJ70</f>
        <v>0</v>
      </c>
      <c r="P74" s="23" t="s">
        <v>0</v>
      </c>
      <c r="Q74" s="22">
        <f>L74</f>
        <v>2012</v>
      </c>
      <c r="R74" s="21" t="str">
        <f>M74</f>
        <v/>
      </c>
      <c r="S74" s="20">
        <f>[1]Input_EUL_CRC_ERC!$B$17-Table1[[#This Row],[Year Installed_WL]]</f>
        <v>5</v>
      </c>
      <c r="T74" s="20">
        <f>[1]Input_EUL_CRC_ERC!$B$17-(IF(Table1[[#This Row],[Year Last_Rehab_WL ]]=0,Table1[[#This Row],[Year Installed_WL]],[1]Input_EUL_CRC_ERC!$B$17-Table1[[#This Row],[Year Last_Rehab_WL ]]))</f>
        <v>5</v>
      </c>
      <c r="U74" s="20">
        <f>(VLOOKUP(Table1[[#This Row],[Item_Rehab_WL]],[1]Input_EUL_CRC_ERC!$C$17:$E$27,2,FALSE)-Table1[[#This Row],[Last Rehab Age]])</f>
        <v>10</v>
      </c>
      <c r="V74" s="19">
        <f>[1]Input_EUL_CRC_ERC!$B$17-Table1[[#This Row],[Year Installed_HP]]</f>
        <v>5</v>
      </c>
      <c r="W74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74" s="19">
        <f>[1]Input_EUL_CRC_ERC!$B$17-Table1[[#This Row],[Year Installed_PF]]</f>
        <v>5</v>
      </c>
      <c r="Y74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74" s="25">
        <f>IF(Table1[[#This Row],[Years_Next_Rehab_Well]]&lt;=0,VLOOKUP(Table1[[#This Row],[Item_Rehab_WL]],[1]!Table2[#All],3,FALSE),0)</f>
        <v>0</v>
      </c>
      <c r="AA74" s="18">
        <f>IF(Table1[[#This Row],[Adjusted_ULife_HP]]&lt;=0,VLOOKUP(Table1[[#This Row],[Item_Handpump]],[1]!Table2[#All],3,FALSE),0)</f>
        <v>0</v>
      </c>
      <c r="AB74" s="18">
        <f>IF(Table1[[#This Row],[Adjusted_ULife_PF]]&lt;=0,VLOOKUP(Table1[[#This Row],[Item_Platform]],[1]!Table2[#All],3,FALSE),0)</f>
        <v>0</v>
      </c>
      <c r="AC74" s="18">
        <f>SUM(Table1[[#This Row],[current yr_wl]:[current yr_pf]])</f>
        <v>0</v>
      </c>
      <c r="AD74" s="25">
        <f>IF(Table1[[#This Row],[Years_Next_Rehab_Well]]=1,VLOOKUP(Table1[[#This Row],[Item_Rehab_WL]],[1]!Table2[#All],4,FALSE),0)</f>
        <v>0</v>
      </c>
      <c r="AE74" s="25">
        <f>IF(Table1[[#This Row],[Adjusted_ULife_HP]]=1,VLOOKUP(Table1[[#This Row],[Item_Handpump]],[1]!Table2[#All],4,FALSE),0)</f>
        <v>0</v>
      </c>
      <c r="AF74" s="25">
        <f>IF(Table1[[#This Row],[Adjusted_ULife_PF]]=1,VLOOKUP(Table1[[#This Row],[Item_Platform]],[1]!Table2[#All],4,FALSE),0)</f>
        <v>0</v>
      </c>
      <c r="AG74" s="25">
        <f>SUM(Table1[[#This Row],[yr 1_wl]:[yr 1_pf]])</f>
        <v>0</v>
      </c>
      <c r="AH74" s="25">
        <f>IF(Table1[[#This Row],[Years_Next_Rehab_Well]]=2,VLOOKUP(Table1[[#This Row],[Item_Rehab_WL]],[1]!Table2[#All],5,FALSE),0)</f>
        <v>0</v>
      </c>
      <c r="AI74" s="25">
        <f>IF(Table1[[#This Row],[Adjusted_ULife_HP]]=2,VLOOKUP(Table1[[#This Row],[Item_Handpump]],[1]!Table2[#All],5,FALSE),0)</f>
        <v>0</v>
      </c>
      <c r="AJ74" s="25">
        <f>IF(Table1[[#This Row],[Adjusted_ULife_PF]]=2,VLOOKUP(Table1[[#This Row],[Item_Platform]],[1]!Table2[#All],5,FALSE),0)</f>
        <v>0</v>
      </c>
      <c r="AK74" s="25">
        <f>SUM(Table1[[#This Row],[yr 2_wl]:[yr 2_pf]])</f>
        <v>0</v>
      </c>
      <c r="AL74" s="25">
        <f>IF(Table1[[#This Row],[Years_Next_Rehab_Well]]=3,VLOOKUP(Table1[[#This Row],[Item_Rehab_WL]],[1]!Table2[#All],6,FALSE),0)</f>
        <v>0</v>
      </c>
      <c r="AM74" s="25">
        <f>IF(Table1[[#This Row],[Adjusted_ULife_HP]]=3,VLOOKUP(Table1[[#This Row],[Item_Handpump]],[1]!Table2[#All],6,FALSE),0)</f>
        <v>0</v>
      </c>
      <c r="AN74" s="25">
        <f>IF(Table1[[#This Row],[Adjusted_ULife_PF]]=3,VLOOKUP(Table1[[#This Row],[Item_Platform]],[1]!Table2[#All],6,FALSE),0)</f>
        <v>0</v>
      </c>
      <c r="AO74" s="25">
        <f>SUM(Table1[[#This Row],[yr 3_wl]:[yr 3_pf]])</f>
        <v>0</v>
      </c>
      <c r="AP74" s="25">
        <f>IF(Table1[[#This Row],[Years_Next_Rehab_Well]]=4,VLOOKUP(Table1[[#This Row],[Item_Rehab_WL]],[1]!Table2[#All],7,FALSE),0)</f>
        <v>0</v>
      </c>
      <c r="AQ74" s="25">
        <f>IF(Table1[[#This Row],[Adjusted_ULife_HP]]=4,VLOOKUP(Table1[[#This Row],[Item_Handpump]],[1]!Table2[#All],7,FALSE),0)</f>
        <v>0</v>
      </c>
      <c r="AR74" s="25">
        <f>IF(Table1[[#This Row],[Adjusted_ULife_PF]]=4,VLOOKUP(Table1[[#This Row],[Item_Platform]],[1]!Table2[#All],7,FALSE),0)</f>
        <v>0</v>
      </c>
      <c r="AS74" s="25">
        <f>SUM(Table1[[#This Row],[yr 4_wl]:[yr 4_pf]])</f>
        <v>0</v>
      </c>
      <c r="AT74" s="25">
        <f>IF(Table1[[#This Row],[Years_Next_Rehab_Well]]=5,VLOOKUP(Table1[[#This Row],[Item_Rehab_WL]],[1]!Table2[#All],8,FALSE),0)</f>
        <v>0</v>
      </c>
      <c r="AU74" s="25">
        <f>IF(Table1[[#This Row],[Adjusted_ULife_HP]]=5,VLOOKUP(Table1[[#This Row],[Item_Handpump]],[1]!Table2[#All],8,FALSE),0)</f>
        <v>0</v>
      </c>
      <c r="AV74" s="25">
        <f>IF(Table1[[#This Row],[Adjusted_ULife_PF]]=5,VLOOKUP(Table1[[#This Row],[Item_Platform]],[1]!Table2[#All],8,FALSE),0)</f>
        <v>2643.5125248000018</v>
      </c>
      <c r="AW74" s="25">
        <f>SUM(Table1[[#This Row],[yr 5_wl]:[yr 5_pf]])</f>
        <v>2643.5125248000018</v>
      </c>
      <c r="AX74" s="25">
        <f>IF(Table1[[#This Row],[Years_Next_Rehab_Well]]=6,VLOOKUP(Table1[[#This Row],[Item_Rehab_WL]],[1]!Table2[#All],9,FALSE),0)</f>
        <v>0</v>
      </c>
      <c r="AY74" s="25">
        <f>IF(Table1[[#This Row],[Adjusted_ULife_HP]]=6,VLOOKUP(Table1[[#This Row],[Item_Handpump]],[1]!Table2[#All],9,FALSE),0)</f>
        <v>0</v>
      </c>
      <c r="AZ74" s="25">
        <f>IF(Table1[[#This Row],[Adjusted_ULife_PF]]=6,VLOOKUP(Table1[[#This Row],[Item_Platform]],[1]!Table2[#All],9,FALSE),0)</f>
        <v>0</v>
      </c>
      <c r="BA74" s="25">
        <f>SUM(Table1[[#This Row],[yr 6_wl]:[yr 6_pf]])</f>
        <v>0</v>
      </c>
      <c r="BB74" s="25">
        <f>IF(Table1[[#This Row],[Years_Next_Rehab_Well]]=7,VLOOKUP(Table1[[#This Row],[Item_Rehab_WL]],[1]!Table2[#All],10,FALSE),0)</f>
        <v>0</v>
      </c>
      <c r="BC74" s="25">
        <f>IF(Table1[[#This Row],[Adjusted_ULife_HP]]=7,VLOOKUP(Table1[[#This Row],[Item_Handpump]],[1]!Table2[#All],10,FALSE),0)</f>
        <v>0</v>
      </c>
      <c r="BD74" s="25">
        <f>IF(Table1[[#This Row],[Adjusted_ULife_PF]]=7,VLOOKUP(Table1[[#This Row],[Item_Platform]],[1]!Table2[#All],10,FALSE),0)</f>
        <v>0</v>
      </c>
      <c r="BE74" s="25">
        <f>SUM(Table1[[#This Row],[yr 7_wl]:[yr 7_pf]])</f>
        <v>0</v>
      </c>
      <c r="BF74" s="25">
        <f>IF(Table1[[#This Row],[Years_Next_Rehab_Well]]=8,VLOOKUP(Table1[[#This Row],[Item_Rehab_WL]],[1]!Table2[#All],11,FALSE),0)</f>
        <v>0</v>
      </c>
      <c r="BG74" s="25">
        <f>IF(Table1[[#This Row],[Adjusted_ULife_HP]]=8,VLOOKUP(Table1[[#This Row],[Item_Handpump]],[1]!Table2[#All],11,FALSE),0)</f>
        <v>0</v>
      </c>
      <c r="BH74" s="25">
        <f>IF(Table1[[#This Row],[Adjusted_ULife_PF]]=8,VLOOKUP(Table1[[#This Row],[Item_Platform]],[1]!Table2[#All],11,FALSE),0)</f>
        <v>0</v>
      </c>
      <c r="BI74" s="25">
        <f>SUM(Table1[[#This Row],[yr 8_wl]:[yr 8_pf]])</f>
        <v>0</v>
      </c>
      <c r="BJ74" s="25">
        <f>IF(Table1[[#This Row],[Years_Next_Rehab_Well]]=9,VLOOKUP(Table1[[#This Row],[Item_Rehab_WL]],[1]!Table2[#All],12,FALSE),0)</f>
        <v>0</v>
      </c>
      <c r="BK74" s="25">
        <f>IF(Table1[[#This Row],[Adjusted_ULife_HP]]=9,VLOOKUP(Table1[[#This Row],[Item_Handpump]],[1]!Table2[#All],12,FALSE),0)</f>
        <v>0</v>
      </c>
      <c r="BL74" s="25">
        <f>IF(Table1[[#This Row],[Adjusted_ULife_PF]]=9,VLOOKUP(Table1[[#This Row],[Item_Platform]],[1]!Table2[#All],12,FALSE),0)</f>
        <v>0</v>
      </c>
      <c r="BM74" s="25">
        <f>SUM(Table1[[#This Row],[yr 9_wl]:[yr 9_pf]])</f>
        <v>0</v>
      </c>
      <c r="BN74" s="25">
        <f>IF(Table1[[#This Row],[Years_Next_Rehab_Well]]=10,VLOOKUP(Table1[[#This Row],[Item_Rehab_WL]],[1]!Table2[#All],13,FALSE),0)</f>
        <v>11388.110097262112</v>
      </c>
      <c r="BO74" s="25">
        <f>IF(Table1[[#This Row],[Adjusted_ULife_HP]]=10,VLOOKUP(Table1[[#This Row],[Item_Handpump]],[1]!Table2[#All],13,FALSE),0)</f>
        <v>0</v>
      </c>
      <c r="BP74" s="25">
        <f>IF(Table1[[#This Row],[Adjusted_ULife_PF]]=10,VLOOKUP(Table1[[#This Row],[Item_Platform]],[1]!Table2[#All],13,FALSE),0)</f>
        <v>0</v>
      </c>
      <c r="BQ74" s="25">
        <f>SUM(Table1[[#This Row],[yr 10_wl]:[yr 10_pf]])</f>
        <v>11388.110097262112</v>
      </c>
      <c r="BR74" s="25">
        <f>IF(Table1[[#This Row],[Years_Next_Rehab_Well]]=11,VLOOKUP(Table1[[#This Row],[Item_Rehab_WL]],[1]!Table2[#All],14,FALSE),0)</f>
        <v>0</v>
      </c>
      <c r="BS74" s="25">
        <f>IF(Table1[[#This Row],[Adjusted_ULife_HP]]=11,VLOOKUP(Table1[[#This Row],[Item_Handpump]],[1]!Table2[#All],14,FALSE),0)</f>
        <v>0</v>
      </c>
      <c r="BT74" s="25">
        <f>IF(Table1[[#This Row],[Adjusted_ULife_PF]]=11,VLOOKUP(Table1[[#This Row],[Item_Platform]],[1]!Table2[#All],14,FALSE),0)</f>
        <v>0</v>
      </c>
      <c r="BU74" s="25">
        <f>SUM(Table1[[#This Row],[yr 11_wl]:[yr 11_pf]])</f>
        <v>0</v>
      </c>
      <c r="BV74" s="25">
        <f>IF(Table1[[#This Row],[Years_Next_Rehab_Well]]=12,VLOOKUP(Table1[[#This Row],[Item_Rehab_WL]],[1]!Table2[#All],15,FALSE),0)</f>
        <v>0</v>
      </c>
      <c r="BW74" s="25">
        <f>IF(Table1[[#This Row],[Adjusted_ULife_HP]]=12,VLOOKUP(Table1[[#This Row],[Item_Handpump]],[1]!Table2[#All],15,FALSE),0)</f>
        <v>0</v>
      </c>
      <c r="BX74" s="25">
        <f>IF(Table1[[#This Row],[Adjusted_ULife_PF]]=12,VLOOKUP(Table1[[#This Row],[Item_Platform]],[1]!Table2[#All],15,FALSE),0)</f>
        <v>0</v>
      </c>
      <c r="BY74" s="25">
        <f>SUM(Table1[[#This Row],[yr 12_wl]:[yr 12_pf]])</f>
        <v>0</v>
      </c>
      <c r="BZ74" s="25">
        <f>IF(Table1[[#This Row],[Years_Next_Rehab_Well]]=13,VLOOKUP(Table1[[#This Row],[Item_Rehab_WL]],[1]!Table2[#All],16,FALSE),0)</f>
        <v>0</v>
      </c>
      <c r="CA74" s="25">
        <f>IF(Table1[[#This Row],[Adjusted_ULife_HP]]=13,VLOOKUP(Table1[[#This Row],[Item_Handpump]],[1]!Table2[#All],16,FALSE),0)</f>
        <v>0</v>
      </c>
      <c r="CB74" s="25">
        <f>IF(Table1[[#This Row],[Adjusted_ULife_PF]]=13,VLOOKUP(Table1[[#This Row],[Item_Platform]],[1]!Table2[#All],16,FALSE),0)</f>
        <v>0</v>
      </c>
      <c r="CC74" s="25">
        <f>SUM(Table1[[#This Row],[yr 13_wl]:[yr 13_pf]])</f>
        <v>0</v>
      </c>
      <c r="CD74" s="12"/>
    </row>
    <row r="75" spans="1:82" s="11" customFormat="1" x14ac:dyDescent="0.25">
      <c r="A75" s="11" t="str">
        <f>IF([1]Input_monitoring_data!A71="","",[1]Input_monitoring_data!A71)</f>
        <v>bhbk-berw-ywsu</v>
      </c>
      <c r="B75" s="22" t="str">
        <f>[1]Input_monitoring_data!BH71</f>
        <v>GAMBIA</v>
      </c>
      <c r="C75" s="22" t="str">
        <f>[1]Input_monitoring_data!BI71</f>
        <v>KWADWO ADDAIKROM</v>
      </c>
      <c r="D75" s="22" t="str">
        <f>[1]Input_monitoring_data!P71</f>
        <v>7.08739044</v>
      </c>
      <c r="E75" s="22" t="str">
        <f>[1]Input_monitoring_data!Q71</f>
        <v>-2.68537766</v>
      </c>
      <c r="F75" s="22" t="str">
        <f>[1]Input_monitoring_data!V71</f>
        <v>Behind the house of Agya Issaka Kombent</v>
      </c>
      <c r="G75" s="23" t="str">
        <f>[1]Input_monitoring_data!U71</f>
        <v>Borehole</v>
      </c>
      <c r="H75" s="22">
        <f>[1]Input_monitoring_data!X71</f>
        <v>2017</v>
      </c>
      <c r="I75" s="21" t="str">
        <f>[1]Input_monitoring_data!AB71</f>
        <v>Borehole redevelopment</v>
      </c>
      <c r="J75" s="21">
        <f>[1]Input_monitoring_data!AC71</f>
        <v>0</v>
      </c>
      <c r="K75" s="23" t="str">
        <f>[1]Input_monitoring_data!W71</f>
        <v>AfriDev</v>
      </c>
      <c r="L75" s="22">
        <f>[1]Input_monitoring_data!X71</f>
        <v>2017</v>
      </c>
      <c r="M75" s="21" t="str">
        <f>IF([1]Input_monitoring_data!BL71&gt;'Point Sources_Asset_Register_'!L75,[1]Input_monitoring_data!BL71,"")</f>
        <v/>
      </c>
      <c r="N75" s="22" t="str">
        <f>[1]Input_monitoring_data!BQ71</f>
        <v>functional</v>
      </c>
      <c r="O75" s="22">
        <f>[1]Input_monitoring_data!AJ71</f>
        <v>0</v>
      </c>
      <c r="P75" s="23" t="s">
        <v>0</v>
      </c>
      <c r="Q75" s="22">
        <f>L75</f>
        <v>2017</v>
      </c>
      <c r="R75" s="21" t="str">
        <f>M75</f>
        <v/>
      </c>
      <c r="S75" s="20">
        <f>[1]Input_EUL_CRC_ERC!$B$17-Table1[[#This Row],[Year Installed_WL]]</f>
        <v>0</v>
      </c>
      <c r="T75" s="20">
        <f>[1]Input_EUL_CRC_ERC!$B$17-(IF(Table1[[#This Row],[Year Last_Rehab_WL ]]=0,Table1[[#This Row],[Year Installed_WL]],[1]Input_EUL_CRC_ERC!$B$17-Table1[[#This Row],[Year Last_Rehab_WL ]]))</f>
        <v>0</v>
      </c>
      <c r="U75" s="20">
        <f>(VLOOKUP(Table1[[#This Row],[Item_Rehab_WL]],[1]Input_EUL_CRC_ERC!$C$17:$E$27,2,FALSE)-Table1[[#This Row],[Last Rehab Age]])</f>
        <v>15</v>
      </c>
      <c r="V75" s="19">
        <f>[1]Input_EUL_CRC_ERC!$B$17-Table1[[#This Row],[Year Installed_HP]]</f>
        <v>0</v>
      </c>
      <c r="W75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75" s="19">
        <f>[1]Input_EUL_CRC_ERC!$B$17-Table1[[#This Row],[Year Installed_PF]]</f>
        <v>0</v>
      </c>
      <c r="Y75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75" s="25">
        <f>IF(Table1[[#This Row],[Years_Next_Rehab_Well]]&lt;=0,VLOOKUP(Table1[[#This Row],[Item_Rehab_WL]],[1]!Table2[#All],3,FALSE),0)</f>
        <v>0</v>
      </c>
      <c r="AA75" s="18">
        <f>IF(Table1[[#This Row],[Adjusted_ULife_HP]]&lt;=0,VLOOKUP(Table1[[#This Row],[Item_Handpump]],[1]!Table2[#All],3,FALSE),0)</f>
        <v>0</v>
      </c>
      <c r="AB75" s="18">
        <f>IF(Table1[[#This Row],[Adjusted_ULife_PF]]&lt;=0,VLOOKUP(Table1[[#This Row],[Item_Platform]],[1]!Table2[#All],3,FALSE),0)</f>
        <v>0</v>
      </c>
      <c r="AC75" s="18">
        <f>SUM(Table1[[#This Row],[current yr_wl]:[current yr_pf]])</f>
        <v>0</v>
      </c>
      <c r="AD75" s="25">
        <f>IF(Table1[[#This Row],[Years_Next_Rehab_Well]]=1,VLOOKUP(Table1[[#This Row],[Item_Rehab_WL]],[1]!Table2[#All],4,FALSE),0)</f>
        <v>0</v>
      </c>
      <c r="AE75" s="25">
        <f>IF(Table1[[#This Row],[Adjusted_ULife_HP]]=1,VLOOKUP(Table1[[#This Row],[Item_Handpump]],[1]!Table2[#All],4,FALSE),0)</f>
        <v>0</v>
      </c>
      <c r="AF75" s="25">
        <f>IF(Table1[[#This Row],[Adjusted_ULife_PF]]=1,VLOOKUP(Table1[[#This Row],[Item_Platform]],[1]!Table2[#All],4,FALSE),0)</f>
        <v>0</v>
      </c>
      <c r="AG75" s="25">
        <f>SUM(Table1[[#This Row],[yr 1_wl]:[yr 1_pf]])</f>
        <v>0</v>
      </c>
      <c r="AH75" s="25">
        <f>IF(Table1[[#This Row],[Years_Next_Rehab_Well]]=2,VLOOKUP(Table1[[#This Row],[Item_Rehab_WL]],[1]!Table2[#All],5,FALSE),0)</f>
        <v>0</v>
      </c>
      <c r="AI75" s="25">
        <f>IF(Table1[[#This Row],[Adjusted_ULife_HP]]=2,VLOOKUP(Table1[[#This Row],[Item_Handpump]],[1]!Table2[#All],5,FALSE),0)</f>
        <v>0</v>
      </c>
      <c r="AJ75" s="25">
        <f>IF(Table1[[#This Row],[Adjusted_ULife_PF]]=2,VLOOKUP(Table1[[#This Row],[Item_Platform]],[1]!Table2[#All],5,FALSE),0)</f>
        <v>0</v>
      </c>
      <c r="AK75" s="25">
        <f>SUM(Table1[[#This Row],[yr 2_wl]:[yr 2_pf]])</f>
        <v>0</v>
      </c>
      <c r="AL75" s="25">
        <f>IF(Table1[[#This Row],[Years_Next_Rehab_Well]]=3,VLOOKUP(Table1[[#This Row],[Item_Rehab_WL]],[1]!Table2[#All],6,FALSE),0)</f>
        <v>0</v>
      </c>
      <c r="AM75" s="25">
        <f>IF(Table1[[#This Row],[Adjusted_ULife_HP]]=3,VLOOKUP(Table1[[#This Row],[Item_Handpump]],[1]!Table2[#All],6,FALSE),0)</f>
        <v>0</v>
      </c>
      <c r="AN75" s="25">
        <f>IF(Table1[[#This Row],[Adjusted_ULife_PF]]=3,VLOOKUP(Table1[[#This Row],[Item_Platform]],[1]!Table2[#All],6,FALSE),0)</f>
        <v>0</v>
      </c>
      <c r="AO75" s="25">
        <f>SUM(Table1[[#This Row],[yr 3_wl]:[yr 3_pf]])</f>
        <v>0</v>
      </c>
      <c r="AP75" s="25">
        <f>IF(Table1[[#This Row],[Years_Next_Rehab_Well]]=4,VLOOKUP(Table1[[#This Row],[Item_Rehab_WL]],[1]!Table2[#All],7,FALSE),0)</f>
        <v>0</v>
      </c>
      <c r="AQ75" s="25">
        <f>IF(Table1[[#This Row],[Adjusted_ULife_HP]]=4,VLOOKUP(Table1[[#This Row],[Item_Handpump]],[1]!Table2[#All],7,FALSE),0)</f>
        <v>0</v>
      </c>
      <c r="AR75" s="25">
        <f>IF(Table1[[#This Row],[Adjusted_ULife_PF]]=4,VLOOKUP(Table1[[#This Row],[Item_Platform]],[1]!Table2[#All],7,FALSE),0)</f>
        <v>0</v>
      </c>
      <c r="AS75" s="25">
        <f>SUM(Table1[[#This Row],[yr 4_wl]:[yr 4_pf]])</f>
        <v>0</v>
      </c>
      <c r="AT75" s="25">
        <f>IF(Table1[[#This Row],[Years_Next_Rehab_Well]]=5,VLOOKUP(Table1[[#This Row],[Item_Rehab_WL]],[1]!Table2[#All],8,FALSE),0)</f>
        <v>0</v>
      </c>
      <c r="AU75" s="25">
        <f>IF(Table1[[#This Row],[Adjusted_ULife_HP]]=5,VLOOKUP(Table1[[#This Row],[Item_Handpump]],[1]!Table2[#All],8,FALSE),0)</f>
        <v>0</v>
      </c>
      <c r="AV75" s="25">
        <f>IF(Table1[[#This Row],[Adjusted_ULife_PF]]=5,VLOOKUP(Table1[[#This Row],[Item_Platform]],[1]!Table2[#All],8,FALSE),0)</f>
        <v>0</v>
      </c>
      <c r="AW75" s="25">
        <f>SUM(Table1[[#This Row],[yr 5_wl]:[yr 5_pf]])</f>
        <v>0</v>
      </c>
      <c r="AX75" s="25">
        <f>IF(Table1[[#This Row],[Years_Next_Rehab_Well]]=6,VLOOKUP(Table1[[#This Row],[Item_Rehab_WL]],[1]!Table2[#All],9,FALSE),0)</f>
        <v>0</v>
      </c>
      <c r="AY75" s="25">
        <f>IF(Table1[[#This Row],[Adjusted_ULife_HP]]=6,VLOOKUP(Table1[[#This Row],[Item_Handpump]],[1]!Table2[#All],9,FALSE),0)</f>
        <v>0</v>
      </c>
      <c r="AZ75" s="25">
        <f>IF(Table1[[#This Row],[Adjusted_ULife_PF]]=6,VLOOKUP(Table1[[#This Row],[Item_Platform]],[1]!Table2[#All],9,FALSE),0)</f>
        <v>0</v>
      </c>
      <c r="BA75" s="25">
        <f>SUM(Table1[[#This Row],[yr 6_wl]:[yr 6_pf]])</f>
        <v>0</v>
      </c>
      <c r="BB75" s="25">
        <f>IF(Table1[[#This Row],[Years_Next_Rehab_Well]]=7,VLOOKUP(Table1[[#This Row],[Item_Rehab_WL]],[1]!Table2[#All],10,FALSE),0)</f>
        <v>0</v>
      </c>
      <c r="BC75" s="25">
        <f>IF(Table1[[#This Row],[Adjusted_ULife_HP]]=7,VLOOKUP(Table1[[#This Row],[Item_Handpump]],[1]!Table2[#All],10,FALSE),0)</f>
        <v>0</v>
      </c>
      <c r="BD75" s="25">
        <f>IF(Table1[[#This Row],[Adjusted_ULife_PF]]=7,VLOOKUP(Table1[[#This Row],[Item_Platform]],[1]!Table2[#All],10,FALSE),0)</f>
        <v>0</v>
      </c>
      <c r="BE75" s="25">
        <f>SUM(Table1[[#This Row],[yr 7_wl]:[yr 7_pf]])</f>
        <v>0</v>
      </c>
      <c r="BF75" s="25">
        <f>IF(Table1[[#This Row],[Years_Next_Rehab_Well]]=8,VLOOKUP(Table1[[#This Row],[Item_Rehab_WL]],[1]!Table2[#All],11,FALSE),0)</f>
        <v>0</v>
      </c>
      <c r="BG75" s="25">
        <f>IF(Table1[[#This Row],[Adjusted_ULife_HP]]=8,VLOOKUP(Table1[[#This Row],[Item_Handpump]],[1]!Table2[#All],11,FALSE),0)</f>
        <v>0</v>
      </c>
      <c r="BH75" s="25">
        <f>IF(Table1[[#This Row],[Adjusted_ULife_PF]]=8,VLOOKUP(Table1[[#This Row],[Item_Platform]],[1]!Table2[#All],11,FALSE),0)</f>
        <v>0</v>
      </c>
      <c r="BI75" s="25">
        <f>SUM(Table1[[#This Row],[yr 8_wl]:[yr 8_pf]])</f>
        <v>0</v>
      </c>
      <c r="BJ75" s="25">
        <f>IF(Table1[[#This Row],[Years_Next_Rehab_Well]]=9,VLOOKUP(Table1[[#This Row],[Item_Rehab_WL]],[1]!Table2[#All],12,FALSE),0)</f>
        <v>0</v>
      </c>
      <c r="BK75" s="25">
        <f>IF(Table1[[#This Row],[Adjusted_ULife_HP]]=9,VLOOKUP(Table1[[#This Row],[Item_Handpump]],[1]!Table2[#All],12,FALSE),0)</f>
        <v>0</v>
      </c>
      <c r="BL75" s="25">
        <f>IF(Table1[[#This Row],[Adjusted_ULife_PF]]=9,VLOOKUP(Table1[[#This Row],[Item_Platform]],[1]!Table2[#All],12,FALSE),0)</f>
        <v>0</v>
      </c>
      <c r="BM75" s="25">
        <f>SUM(Table1[[#This Row],[yr 9_wl]:[yr 9_pf]])</f>
        <v>0</v>
      </c>
      <c r="BN75" s="25">
        <f>IF(Table1[[#This Row],[Years_Next_Rehab_Well]]=10,VLOOKUP(Table1[[#This Row],[Item_Rehab_WL]],[1]!Table2[#All],13,FALSE),0)</f>
        <v>0</v>
      </c>
      <c r="BO75" s="25">
        <f>IF(Table1[[#This Row],[Adjusted_ULife_HP]]=10,VLOOKUP(Table1[[#This Row],[Item_Handpump]],[1]!Table2[#All],13,FALSE),0)</f>
        <v>0</v>
      </c>
      <c r="BP75" s="25">
        <f>IF(Table1[[#This Row],[Adjusted_ULife_PF]]=10,VLOOKUP(Table1[[#This Row],[Item_Platform]],[1]!Table2[#All],13,FALSE),0)</f>
        <v>4658.7723125163184</v>
      </c>
      <c r="BQ75" s="25">
        <f>SUM(Table1[[#This Row],[yr 10_wl]:[yr 10_pf]])</f>
        <v>4658.7723125163184</v>
      </c>
      <c r="BR75" s="25">
        <f>IF(Table1[[#This Row],[Years_Next_Rehab_Well]]=11,VLOOKUP(Table1[[#This Row],[Item_Rehab_WL]],[1]!Table2[#All],14,FALSE),0)</f>
        <v>0</v>
      </c>
      <c r="BS75" s="25">
        <f>IF(Table1[[#This Row],[Adjusted_ULife_HP]]=11,VLOOKUP(Table1[[#This Row],[Item_Handpump]],[1]!Table2[#All],14,FALSE),0)</f>
        <v>0</v>
      </c>
      <c r="BT75" s="25">
        <f>IF(Table1[[#This Row],[Adjusted_ULife_PF]]=11,VLOOKUP(Table1[[#This Row],[Item_Platform]],[1]!Table2[#All],14,FALSE),0)</f>
        <v>0</v>
      </c>
      <c r="BU75" s="25">
        <f>SUM(Table1[[#This Row],[yr 11_wl]:[yr 11_pf]])</f>
        <v>0</v>
      </c>
      <c r="BV75" s="25">
        <f>IF(Table1[[#This Row],[Years_Next_Rehab_Well]]=12,VLOOKUP(Table1[[#This Row],[Item_Rehab_WL]],[1]!Table2[#All],15,FALSE),0)</f>
        <v>0</v>
      </c>
      <c r="BW75" s="25">
        <f>IF(Table1[[#This Row],[Adjusted_ULife_HP]]=12,VLOOKUP(Table1[[#This Row],[Item_Handpump]],[1]!Table2[#All],15,FALSE),0)</f>
        <v>0</v>
      </c>
      <c r="BX75" s="25">
        <f>IF(Table1[[#This Row],[Adjusted_ULife_PF]]=12,VLOOKUP(Table1[[#This Row],[Item_Platform]],[1]!Table2[#All],15,FALSE),0)</f>
        <v>0</v>
      </c>
      <c r="BY75" s="25">
        <f>SUM(Table1[[#This Row],[yr 12_wl]:[yr 12_pf]])</f>
        <v>0</v>
      </c>
      <c r="BZ75" s="25">
        <f>IF(Table1[[#This Row],[Years_Next_Rehab_Well]]=13,VLOOKUP(Table1[[#This Row],[Item_Rehab_WL]],[1]!Table2[#All],16,FALSE),0)</f>
        <v>0</v>
      </c>
      <c r="CA75" s="25">
        <f>IF(Table1[[#This Row],[Adjusted_ULife_HP]]=13,VLOOKUP(Table1[[#This Row],[Item_Handpump]],[1]!Table2[#All],16,FALSE),0)</f>
        <v>0</v>
      </c>
      <c r="CB75" s="25">
        <f>IF(Table1[[#This Row],[Adjusted_ULife_PF]]=13,VLOOKUP(Table1[[#This Row],[Item_Platform]],[1]!Table2[#All],16,FALSE),0)</f>
        <v>0</v>
      </c>
      <c r="CC75" s="25">
        <f>SUM(Table1[[#This Row],[yr 13_wl]:[yr 13_pf]])</f>
        <v>0</v>
      </c>
      <c r="CD75" s="12"/>
    </row>
    <row r="76" spans="1:82" s="11" customFormat="1" x14ac:dyDescent="0.25">
      <c r="A76" s="11" t="str">
        <f>IF([1]Input_monitoring_data!A72="","",[1]Input_monitoring_data!A72)</f>
        <v>c20u-2tkr-3576</v>
      </c>
      <c r="B76" s="22" t="str">
        <f>[1]Input_monitoring_data!BH72</f>
        <v>KENYASI NO.2</v>
      </c>
      <c r="C76" s="22" t="str">
        <f>[1]Input_monitoring_data!BI72</f>
        <v>ATWEDIE KENYASI NO.3</v>
      </c>
      <c r="D76" s="22" t="str">
        <f>[1]Input_monitoring_data!P72</f>
        <v>7.023211932190982</v>
      </c>
      <c r="E76" s="22" t="str">
        <f>[1]Input_monitoring_data!Q72</f>
        <v>-2.480041928777633</v>
      </c>
      <c r="F76" s="22" t="str">
        <f>[1]Input_monitoring_data!V72</f>
        <v>KRAMO SEIDU AKURAA ALONG KOJOKROM ROAD</v>
      </c>
      <c r="G76" s="23" t="str">
        <f>[1]Input_monitoring_data!U72</f>
        <v>Borehole</v>
      </c>
      <c r="H76" s="22">
        <f>[1]Input_monitoring_data!X72</f>
        <v>2014</v>
      </c>
      <c r="I76" s="21" t="str">
        <f>[1]Input_monitoring_data!AB72</f>
        <v>Borehole redevelopment</v>
      </c>
      <c r="J76" s="21">
        <f>[1]Input_monitoring_data!AC72</f>
        <v>0</v>
      </c>
      <c r="K76" s="23" t="str">
        <f>[1]Input_monitoring_data!W72</f>
        <v>Nira AF-85</v>
      </c>
      <c r="L76" s="22">
        <f>[1]Input_monitoring_data!X72</f>
        <v>2014</v>
      </c>
      <c r="M76" s="21" t="str">
        <f>IF([1]Input_monitoring_data!BL72&gt;'Point Sources_Asset_Register_'!L76,[1]Input_monitoring_data!BL72,"")</f>
        <v/>
      </c>
      <c r="N76" s="22" t="str">
        <f>[1]Input_monitoring_data!BQ72</f>
        <v>functional</v>
      </c>
      <c r="O76" s="22">
        <f>[1]Input_monitoring_data!AJ72</f>
        <v>0</v>
      </c>
      <c r="P76" s="23" t="s">
        <v>0</v>
      </c>
      <c r="Q76" s="22">
        <f>L76</f>
        <v>2014</v>
      </c>
      <c r="R76" s="21" t="str">
        <f>M76</f>
        <v/>
      </c>
      <c r="S76" s="20">
        <f>[1]Input_EUL_CRC_ERC!$B$17-Table1[[#This Row],[Year Installed_WL]]</f>
        <v>3</v>
      </c>
      <c r="T76" s="20">
        <f>[1]Input_EUL_CRC_ERC!$B$17-(IF(Table1[[#This Row],[Year Last_Rehab_WL ]]=0,Table1[[#This Row],[Year Installed_WL]],[1]Input_EUL_CRC_ERC!$B$17-Table1[[#This Row],[Year Last_Rehab_WL ]]))</f>
        <v>3</v>
      </c>
      <c r="U76" s="20">
        <f>(VLOOKUP(Table1[[#This Row],[Item_Rehab_WL]],[1]Input_EUL_CRC_ERC!$C$17:$E$27,2,FALSE)-Table1[[#This Row],[Last Rehab Age]])</f>
        <v>12</v>
      </c>
      <c r="V76" s="19">
        <f>[1]Input_EUL_CRC_ERC!$B$17-Table1[[#This Row],[Year Installed_HP]]</f>
        <v>3</v>
      </c>
      <c r="W76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76" s="19">
        <f>[1]Input_EUL_CRC_ERC!$B$17-Table1[[#This Row],[Year Installed_PF]]</f>
        <v>3</v>
      </c>
      <c r="Y76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76" s="25">
        <f>IF(Table1[[#This Row],[Years_Next_Rehab_Well]]&lt;=0,VLOOKUP(Table1[[#This Row],[Item_Rehab_WL]],[1]!Table2[#All],3,FALSE),0)</f>
        <v>0</v>
      </c>
      <c r="AA76" s="18">
        <f>IF(Table1[[#This Row],[Adjusted_ULife_HP]]&lt;=0,VLOOKUP(Table1[[#This Row],[Item_Handpump]],[1]!Table2[#All],3,FALSE),0)</f>
        <v>0</v>
      </c>
      <c r="AB76" s="18">
        <f>IF(Table1[[#This Row],[Adjusted_ULife_PF]]&lt;=0,VLOOKUP(Table1[[#This Row],[Item_Platform]],[1]!Table2[#All],3,FALSE),0)</f>
        <v>0</v>
      </c>
      <c r="AC76" s="18">
        <f>SUM(Table1[[#This Row],[current yr_wl]:[current yr_pf]])</f>
        <v>0</v>
      </c>
      <c r="AD76" s="25">
        <f>IF(Table1[[#This Row],[Years_Next_Rehab_Well]]=1,VLOOKUP(Table1[[#This Row],[Item_Rehab_WL]],[1]!Table2[#All],4,FALSE),0)</f>
        <v>0</v>
      </c>
      <c r="AE76" s="25">
        <f>IF(Table1[[#This Row],[Adjusted_ULife_HP]]=1,VLOOKUP(Table1[[#This Row],[Item_Handpump]],[1]!Table2[#All],4,FALSE),0)</f>
        <v>0</v>
      </c>
      <c r="AF76" s="25">
        <f>IF(Table1[[#This Row],[Adjusted_ULife_PF]]=1,VLOOKUP(Table1[[#This Row],[Item_Platform]],[1]!Table2[#All],4,FALSE),0)</f>
        <v>0</v>
      </c>
      <c r="AG76" s="25">
        <f>SUM(Table1[[#This Row],[yr 1_wl]:[yr 1_pf]])</f>
        <v>0</v>
      </c>
      <c r="AH76" s="25">
        <f>IF(Table1[[#This Row],[Years_Next_Rehab_Well]]=2,VLOOKUP(Table1[[#This Row],[Item_Rehab_WL]],[1]!Table2[#All],5,FALSE),0)</f>
        <v>0</v>
      </c>
      <c r="AI76" s="25">
        <f>IF(Table1[[#This Row],[Adjusted_ULife_HP]]=2,VLOOKUP(Table1[[#This Row],[Item_Handpump]],[1]!Table2[#All],5,FALSE),0)</f>
        <v>0</v>
      </c>
      <c r="AJ76" s="25">
        <f>IF(Table1[[#This Row],[Adjusted_ULife_PF]]=2,VLOOKUP(Table1[[#This Row],[Item_Platform]],[1]!Table2[#All],5,FALSE),0)</f>
        <v>0</v>
      </c>
      <c r="AK76" s="25">
        <f>SUM(Table1[[#This Row],[yr 2_wl]:[yr 2_pf]])</f>
        <v>0</v>
      </c>
      <c r="AL76" s="25">
        <f>IF(Table1[[#This Row],[Years_Next_Rehab_Well]]=3,VLOOKUP(Table1[[#This Row],[Item_Rehab_WL]],[1]!Table2[#All],6,FALSE),0)</f>
        <v>0</v>
      </c>
      <c r="AM76" s="25">
        <f>IF(Table1[[#This Row],[Adjusted_ULife_HP]]=3,VLOOKUP(Table1[[#This Row],[Item_Handpump]],[1]!Table2[#All],6,FALSE),0)</f>
        <v>0</v>
      </c>
      <c r="AN76" s="25">
        <f>IF(Table1[[#This Row],[Adjusted_ULife_PF]]=3,VLOOKUP(Table1[[#This Row],[Item_Platform]],[1]!Table2[#All],6,FALSE),0)</f>
        <v>0</v>
      </c>
      <c r="AO76" s="25">
        <f>SUM(Table1[[#This Row],[yr 3_wl]:[yr 3_pf]])</f>
        <v>0</v>
      </c>
      <c r="AP76" s="25">
        <f>IF(Table1[[#This Row],[Years_Next_Rehab_Well]]=4,VLOOKUP(Table1[[#This Row],[Item_Rehab_WL]],[1]!Table2[#All],7,FALSE),0)</f>
        <v>0</v>
      </c>
      <c r="AQ76" s="25">
        <f>IF(Table1[[#This Row],[Adjusted_ULife_HP]]=4,VLOOKUP(Table1[[#This Row],[Item_Handpump]],[1]!Table2[#All],7,FALSE),0)</f>
        <v>0</v>
      </c>
      <c r="AR76" s="25">
        <f>IF(Table1[[#This Row],[Adjusted_ULife_PF]]=4,VLOOKUP(Table1[[#This Row],[Item_Platform]],[1]!Table2[#All],7,FALSE),0)</f>
        <v>0</v>
      </c>
      <c r="AS76" s="25">
        <f>SUM(Table1[[#This Row],[yr 4_wl]:[yr 4_pf]])</f>
        <v>0</v>
      </c>
      <c r="AT76" s="25">
        <f>IF(Table1[[#This Row],[Years_Next_Rehab_Well]]=5,VLOOKUP(Table1[[#This Row],[Item_Rehab_WL]],[1]!Table2[#All],8,FALSE),0)</f>
        <v>0</v>
      </c>
      <c r="AU76" s="25">
        <f>IF(Table1[[#This Row],[Adjusted_ULife_HP]]=5,VLOOKUP(Table1[[#This Row],[Item_Handpump]],[1]!Table2[#All],8,FALSE),0)</f>
        <v>0</v>
      </c>
      <c r="AV76" s="25">
        <f>IF(Table1[[#This Row],[Adjusted_ULife_PF]]=5,VLOOKUP(Table1[[#This Row],[Item_Platform]],[1]!Table2[#All],8,FALSE),0)</f>
        <v>0</v>
      </c>
      <c r="AW76" s="25">
        <f>SUM(Table1[[#This Row],[yr 5_wl]:[yr 5_pf]])</f>
        <v>0</v>
      </c>
      <c r="AX76" s="25">
        <f>IF(Table1[[#This Row],[Years_Next_Rehab_Well]]=6,VLOOKUP(Table1[[#This Row],[Item_Rehab_WL]],[1]!Table2[#All],9,FALSE),0)</f>
        <v>0</v>
      </c>
      <c r="AY76" s="25">
        <f>IF(Table1[[#This Row],[Adjusted_ULife_HP]]=6,VLOOKUP(Table1[[#This Row],[Item_Handpump]],[1]!Table2[#All],9,FALSE),0)</f>
        <v>0</v>
      </c>
      <c r="AZ76" s="25">
        <f>IF(Table1[[#This Row],[Adjusted_ULife_PF]]=6,VLOOKUP(Table1[[#This Row],[Item_Platform]],[1]!Table2[#All],9,FALSE),0)</f>
        <v>0</v>
      </c>
      <c r="BA76" s="25">
        <f>SUM(Table1[[#This Row],[yr 6_wl]:[yr 6_pf]])</f>
        <v>0</v>
      </c>
      <c r="BB76" s="25">
        <f>IF(Table1[[#This Row],[Years_Next_Rehab_Well]]=7,VLOOKUP(Table1[[#This Row],[Item_Rehab_WL]],[1]!Table2[#All],10,FALSE),0)</f>
        <v>0</v>
      </c>
      <c r="BC76" s="25">
        <f>IF(Table1[[#This Row],[Adjusted_ULife_HP]]=7,VLOOKUP(Table1[[#This Row],[Item_Handpump]],[1]!Table2[#All],10,FALSE),0)</f>
        <v>0</v>
      </c>
      <c r="BD76" s="25">
        <f>IF(Table1[[#This Row],[Adjusted_ULife_PF]]=7,VLOOKUP(Table1[[#This Row],[Item_Platform]],[1]!Table2[#All],10,FALSE),0)</f>
        <v>3316.0221111091228</v>
      </c>
      <c r="BE76" s="25">
        <f>SUM(Table1[[#This Row],[yr 7_wl]:[yr 7_pf]])</f>
        <v>3316.0221111091228</v>
      </c>
      <c r="BF76" s="25">
        <f>IF(Table1[[#This Row],[Years_Next_Rehab_Well]]=8,VLOOKUP(Table1[[#This Row],[Item_Rehab_WL]],[1]!Table2[#All],11,FALSE),0)</f>
        <v>0</v>
      </c>
      <c r="BG76" s="25">
        <f>IF(Table1[[#This Row],[Adjusted_ULife_HP]]=8,VLOOKUP(Table1[[#This Row],[Item_Handpump]],[1]!Table2[#All],11,FALSE),0)</f>
        <v>0</v>
      </c>
      <c r="BH76" s="25">
        <f>IF(Table1[[#This Row],[Adjusted_ULife_PF]]=8,VLOOKUP(Table1[[#This Row],[Item_Platform]],[1]!Table2[#All],11,FALSE),0)</f>
        <v>0</v>
      </c>
      <c r="BI76" s="25">
        <f>SUM(Table1[[#This Row],[yr 8_wl]:[yr 8_pf]])</f>
        <v>0</v>
      </c>
      <c r="BJ76" s="25">
        <f>IF(Table1[[#This Row],[Years_Next_Rehab_Well]]=9,VLOOKUP(Table1[[#This Row],[Item_Rehab_WL]],[1]!Table2[#All],12,FALSE),0)</f>
        <v>0</v>
      </c>
      <c r="BK76" s="25">
        <f>IF(Table1[[#This Row],[Adjusted_ULife_HP]]=9,VLOOKUP(Table1[[#This Row],[Item_Handpump]],[1]!Table2[#All],12,FALSE),0)</f>
        <v>0</v>
      </c>
      <c r="BL76" s="25">
        <f>IF(Table1[[#This Row],[Adjusted_ULife_PF]]=9,VLOOKUP(Table1[[#This Row],[Item_Platform]],[1]!Table2[#All],12,FALSE),0)</f>
        <v>0</v>
      </c>
      <c r="BM76" s="25">
        <f>SUM(Table1[[#This Row],[yr 9_wl]:[yr 9_pf]])</f>
        <v>0</v>
      </c>
      <c r="BN76" s="25">
        <f>IF(Table1[[#This Row],[Years_Next_Rehab_Well]]=10,VLOOKUP(Table1[[#This Row],[Item_Rehab_WL]],[1]!Table2[#All],13,FALSE),0)</f>
        <v>0</v>
      </c>
      <c r="BO76" s="25">
        <f>IF(Table1[[#This Row],[Adjusted_ULife_HP]]=10,VLOOKUP(Table1[[#This Row],[Item_Handpump]],[1]!Table2[#All],13,FALSE),0)</f>
        <v>0</v>
      </c>
      <c r="BP76" s="25">
        <f>IF(Table1[[#This Row],[Adjusted_ULife_PF]]=10,VLOOKUP(Table1[[#This Row],[Item_Platform]],[1]!Table2[#All],13,FALSE),0)</f>
        <v>0</v>
      </c>
      <c r="BQ76" s="25">
        <f>SUM(Table1[[#This Row],[yr 10_wl]:[yr 10_pf]])</f>
        <v>0</v>
      </c>
      <c r="BR76" s="25">
        <f>IF(Table1[[#This Row],[Years_Next_Rehab_Well]]=11,VLOOKUP(Table1[[#This Row],[Item_Rehab_WL]],[1]!Table2[#All],14,FALSE),0)</f>
        <v>0</v>
      </c>
      <c r="BS76" s="25">
        <f>IF(Table1[[#This Row],[Adjusted_ULife_HP]]=11,VLOOKUP(Table1[[#This Row],[Item_Handpump]],[1]!Table2[#All],14,FALSE),0)</f>
        <v>0</v>
      </c>
      <c r="BT76" s="25">
        <f>IF(Table1[[#This Row],[Adjusted_ULife_PF]]=11,VLOOKUP(Table1[[#This Row],[Item_Platform]],[1]!Table2[#All],14,FALSE),0)</f>
        <v>0</v>
      </c>
      <c r="BU76" s="25">
        <f>SUM(Table1[[#This Row],[yr 11_wl]:[yr 11_pf]])</f>
        <v>0</v>
      </c>
      <c r="BV76" s="25">
        <f>IF(Table1[[#This Row],[Years_Next_Rehab_Well]]=12,VLOOKUP(Table1[[#This Row],[Item_Rehab_WL]],[1]!Table2[#All],15,FALSE),0)</f>
        <v>14285.245306005596</v>
      </c>
      <c r="BW76" s="25">
        <f>IF(Table1[[#This Row],[Adjusted_ULife_HP]]=12,VLOOKUP(Table1[[#This Row],[Item_Handpump]],[1]!Table2[#All],15,FALSE),0)</f>
        <v>0</v>
      </c>
      <c r="BX76" s="25">
        <f>IF(Table1[[#This Row],[Adjusted_ULife_PF]]=12,VLOOKUP(Table1[[#This Row],[Item_Platform]],[1]!Table2[#All],15,FALSE),0)</f>
        <v>0</v>
      </c>
      <c r="BY76" s="25">
        <f>SUM(Table1[[#This Row],[yr 12_wl]:[yr 12_pf]])</f>
        <v>14285.245306005596</v>
      </c>
      <c r="BZ76" s="25">
        <f>IF(Table1[[#This Row],[Years_Next_Rehab_Well]]=13,VLOOKUP(Table1[[#This Row],[Item_Rehab_WL]],[1]!Table2[#All],16,FALSE),0)</f>
        <v>0</v>
      </c>
      <c r="CA76" s="25">
        <f>IF(Table1[[#This Row],[Adjusted_ULife_HP]]=13,VLOOKUP(Table1[[#This Row],[Item_Handpump]],[1]!Table2[#All],16,FALSE),0)</f>
        <v>0</v>
      </c>
      <c r="CB76" s="25">
        <f>IF(Table1[[#This Row],[Adjusted_ULife_PF]]=13,VLOOKUP(Table1[[#This Row],[Item_Platform]],[1]!Table2[#All],16,FALSE),0)</f>
        <v>0</v>
      </c>
      <c r="CC76" s="25">
        <f>SUM(Table1[[#This Row],[yr 13_wl]:[yr 13_pf]])</f>
        <v>0</v>
      </c>
      <c r="CD76" s="12"/>
    </row>
    <row r="77" spans="1:82" s="11" customFormat="1" x14ac:dyDescent="0.25">
      <c r="A77" s="11" t="str">
        <f>IF([1]Input_monitoring_data!A73="","",[1]Input_monitoring_data!A73)</f>
        <v>c229-ye89-4wkk</v>
      </c>
      <c r="B77" s="22" t="str">
        <f>[1]Input_monitoring_data!BH73</f>
        <v>Goamu</v>
      </c>
      <c r="C77" s="22" t="str">
        <f>[1]Input_monitoring_data!BI73</f>
        <v>Kensere</v>
      </c>
      <c r="D77" s="22" t="str">
        <f>[1]Input_monitoring_data!P73</f>
        <v>6.992448669737647</v>
      </c>
      <c r="E77" s="22" t="str">
        <f>[1]Input_monitoring_data!Q73</f>
        <v>-2.5342296397457247</v>
      </c>
      <c r="F77" s="22" t="str">
        <f>[1]Input_monitoring_data!V73</f>
        <v>Gyidim Near High Tension</v>
      </c>
      <c r="G77" s="23" t="str">
        <f>[1]Input_monitoring_data!U73</f>
        <v>Borehole</v>
      </c>
      <c r="H77" s="22">
        <f>[1]Input_monitoring_data!X73</f>
        <v>1987</v>
      </c>
      <c r="I77" s="21" t="str">
        <f>[1]Input_monitoring_data!AB73</f>
        <v>Borehole redevelopment</v>
      </c>
      <c r="J77" s="21">
        <f>[1]Input_monitoring_data!AC73</f>
        <v>0</v>
      </c>
      <c r="K77" s="23" t="str">
        <f>[1]Input_monitoring_data!W73</f>
        <v>AfriDev</v>
      </c>
      <c r="L77" s="22">
        <f>[1]Input_monitoring_data!X73</f>
        <v>1987</v>
      </c>
      <c r="M77" s="21" t="str">
        <f>IF([1]Input_monitoring_data!BL73&gt;'Point Sources_Asset_Register_'!L77,[1]Input_monitoring_data!BL73,"")</f>
        <v/>
      </c>
      <c r="N77" s="22" t="str">
        <f>[1]Input_monitoring_data!BQ73</f>
        <v>functional</v>
      </c>
      <c r="O77" s="22" t="str">
        <f>[1]Input_monitoring_data!AJ73</f>
        <v>Handpump broken</v>
      </c>
      <c r="P77" s="23" t="s">
        <v>0</v>
      </c>
      <c r="Q77" s="22">
        <f>L77</f>
        <v>1987</v>
      </c>
      <c r="R77" s="21" t="str">
        <f>M77</f>
        <v/>
      </c>
      <c r="S77" s="20">
        <f>[1]Input_EUL_CRC_ERC!$B$17-Table1[[#This Row],[Year Installed_WL]]</f>
        <v>30</v>
      </c>
      <c r="T77" s="20">
        <f>[1]Input_EUL_CRC_ERC!$B$17-(IF(Table1[[#This Row],[Year Last_Rehab_WL ]]=0,Table1[[#This Row],[Year Installed_WL]],[1]Input_EUL_CRC_ERC!$B$17-Table1[[#This Row],[Year Last_Rehab_WL ]]))</f>
        <v>30</v>
      </c>
      <c r="U77" s="20">
        <f>(VLOOKUP(Table1[[#This Row],[Item_Rehab_WL]],[1]Input_EUL_CRC_ERC!$C$17:$E$27,2,FALSE)-Table1[[#This Row],[Last Rehab Age]])</f>
        <v>-15</v>
      </c>
      <c r="V77" s="19">
        <f>[1]Input_EUL_CRC_ERC!$B$17-Table1[[#This Row],[Year Installed_HP]]</f>
        <v>30</v>
      </c>
      <c r="W77" s="19">
        <f>(VLOOKUP(Table1[[#This Row],[Item_Handpump]],[1]!Table2[#All],2,FALSE))-(IF(Table1[[#This Row],[Year Last_Rehab_HP]]="",Table1[[#This Row],[Current Age_Handpump]],[1]Input_EUL_CRC_ERC!$B$17-Table1[[#This Row],[Year Last_Rehab_HP]]))</f>
        <v>-10</v>
      </c>
      <c r="X77" s="19">
        <f>[1]Input_EUL_CRC_ERC!$B$17-Table1[[#This Row],[Year Installed_PF]]</f>
        <v>30</v>
      </c>
      <c r="Y77" s="19">
        <f>(VLOOKUP(Table1[[#This Row],[Item_Platform]],[1]!Table2[#All],2,FALSE))-(IF(Table1[[#This Row],[Year Last_Rehab_PF]]="",Table1[[#This Row],[Current Age_Platform]],[1]Input_EUL_CRC_ERC!$B$17-Table1[[#This Row],[Year Last_Rehab_PF]]))</f>
        <v>-20</v>
      </c>
      <c r="Z77" s="25">
        <f>IF(Table1[[#This Row],[Years_Next_Rehab_Well]]&lt;=0,VLOOKUP(Table1[[#This Row],[Item_Rehab_WL]],[1]!Table2[#All],3,FALSE),0)</f>
        <v>3666.6666666666665</v>
      </c>
      <c r="AA77" s="18">
        <f>IF(Table1[[#This Row],[Adjusted_ULife_HP]]&lt;=0,VLOOKUP(Table1[[#This Row],[Item_Handpump]],[1]!Table2[#All],3,FALSE),0)</f>
        <v>400</v>
      </c>
      <c r="AB77" s="18">
        <f>IF(Table1[[#This Row],[Adjusted_ULife_PF]]&lt;=0,VLOOKUP(Table1[[#This Row],[Item_Platform]],[1]!Table2[#All],3,FALSE),0)</f>
        <v>1500</v>
      </c>
      <c r="AC77" s="18">
        <f>SUM(Table1[[#This Row],[current yr_wl]:[current yr_pf]])</f>
        <v>5566.6666666666661</v>
      </c>
      <c r="AD77" s="25">
        <f>IF(Table1[[#This Row],[Years_Next_Rehab_Well]]=1,VLOOKUP(Table1[[#This Row],[Item_Rehab_WL]],[1]!Table2[#All],4,FALSE),0)</f>
        <v>0</v>
      </c>
      <c r="AE77" s="25">
        <f>IF(Table1[[#This Row],[Adjusted_ULife_HP]]=1,VLOOKUP(Table1[[#This Row],[Item_Handpump]],[1]!Table2[#All],4,FALSE),0)</f>
        <v>0</v>
      </c>
      <c r="AF77" s="25">
        <f>IF(Table1[[#This Row],[Adjusted_ULife_PF]]=1,VLOOKUP(Table1[[#This Row],[Item_Platform]],[1]!Table2[#All],4,FALSE),0)</f>
        <v>0</v>
      </c>
      <c r="AG77" s="25">
        <f>SUM(Table1[[#This Row],[yr 1_wl]:[yr 1_pf]])</f>
        <v>0</v>
      </c>
      <c r="AH77" s="25">
        <f>IF(Table1[[#This Row],[Years_Next_Rehab_Well]]=2,VLOOKUP(Table1[[#This Row],[Item_Rehab_WL]],[1]!Table2[#All],5,FALSE),0)</f>
        <v>0</v>
      </c>
      <c r="AI77" s="25">
        <f>IF(Table1[[#This Row],[Adjusted_ULife_HP]]=2,VLOOKUP(Table1[[#This Row],[Item_Handpump]],[1]!Table2[#All],5,FALSE),0)</f>
        <v>0</v>
      </c>
      <c r="AJ77" s="25">
        <f>IF(Table1[[#This Row],[Adjusted_ULife_PF]]=2,VLOOKUP(Table1[[#This Row],[Item_Platform]],[1]!Table2[#All],5,FALSE),0)</f>
        <v>0</v>
      </c>
      <c r="AK77" s="25">
        <f>SUM(Table1[[#This Row],[yr 2_wl]:[yr 2_pf]])</f>
        <v>0</v>
      </c>
      <c r="AL77" s="25">
        <f>IF(Table1[[#This Row],[Years_Next_Rehab_Well]]=3,VLOOKUP(Table1[[#This Row],[Item_Rehab_WL]],[1]!Table2[#All],6,FALSE),0)</f>
        <v>0</v>
      </c>
      <c r="AM77" s="25">
        <f>IF(Table1[[#This Row],[Adjusted_ULife_HP]]=3,VLOOKUP(Table1[[#This Row],[Item_Handpump]],[1]!Table2[#All],6,FALSE),0)</f>
        <v>0</v>
      </c>
      <c r="AN77" s="25">
        <f>IF(Table1[[#This Row],[Adjusted_ULife_PF]]=3,VLOOKUP(Table1[[#This Row],[Item_Platform]],[1]!Table2[#All],6,FALSE),0)</f>
        <v>0</v>
      </c>
      <c r="AO77" s="25">
        <f>SUM(Table1[[#This Row],[yr 3_wl]:[yr 3_pf]])</f>
        <v>0</v>
      </c>
      <c r="AP77" s="25">
        <f>IF(Table1[[#This Row],[Years_Next_Rehab_Well]]=4,VLOOKUP(Table1[[#This Row],[Item_Rehab_WL]],[1]!Table2[#All],7,FALSE),0)</f>
        <v>0</v>
      </c>
      <c r="AQ77" s="25">
        <f>IF(Table1[[#This Row],[Adjusted_ULife_HP]]=4,VLOOKUP(Table1[[#This Row],[Item_Handpump]],[1]!Table2[#All],7,FALSE),0)</f>
        <v>0</v>
      </c>
      <c r="AR77" s="25">
        <f>IF(Table1[[#This Row],[Adjusted_ULife_PF]]=4,VLOOKUP(Table1[[#This Row],[Item_Platform]],[1]!Table2[#All],7,FALSE),0)</f>
        <v>0</v>
      </c>
      <c r="AS77" s="25">
        <f>SUM(Table1[[#This Row],[yr 4_wl]:[yr 4_pf]])</f>
        <v>0</v>
      </c>
      <c r="AT77" s="25">
        <f>IF(Table1[[#This Row],[Years_Next_Rehab_Well]]=5,VLOOKUP(Table1[[#This Row],[Item_Rehab_WL]],[1]!Table2[#All],8,FALSE),0)</f>
        <v>0</v>
      </c>
      <c r="AU77" s="25">
        <f>IF(Table1[[#This Row],[Adjusted_ULife_HP]]=5,VLOOKUP(Table1[[#This Row],[Item_Handpump]],[1]!Table2[#All],8,FALSE),0)</f>
        <v>0</v>
      </c>
      <c r="AV77" s="25">
        <f>IF(Table1[[#This Row],[Adjusted_ULife_PF]]=5,VLOOKUP(Table1[[#This Row],[Item_Platform]],[1]!Table2[#All],8,FALSE),0)</f>
        <v>0</v>
      </c>
      <c r="AW77" s="25">
        <f>SUM(Table1[[#This Row],[yr 5_wl]:[yr 5_pf]])</f>
        <v>0</v>
      </c>
      <c r="AX77" s="25">
        <f>IF(Table1[[#This Row],[Years_Next_Rehab_Well]]=6,VLOOKUP(Table1[[#This Row],[Item_Rehab_WL]],[1]!Table2[#All],9,FALSE),0)</f>
        <v>0</v>
      </c>
      <c r="AY77" s="25">
        <f>IF(Table1[[#This Row],[Adjusted_ULife_HP]]=6,VLOOKUP(Table1[[#This Row],[Item_Handpump]],[1]!Table2[#All],9,FALSE),0)</f>
        <v>0</v>
      </c>
      <c r="AZ77" s="25">
        <f>IF(Table1[[#This Row],[Adjusted_ULife_PF]]=6,VLOOKUP(Table1[[#This Row],[Item_Platform]],[1]!Table2[#All],9,FALSE),0)</f>
        <v>0</v>
      </c>
      <c r="BA77" s="25">
        <f>SUM(Table1[[#This Row],[yr 6_wl]:[yr 6_pf]])</f>
        <v>0</v>
      </c>
      <c r="BB77" s="25">
        <f>IF(Table1[[#This Row],[Years_Next_Rehab_Well]]=7,VLOOKUP(Table1[[#This Row],[Item_Rehab_WL]],[1]!Table2[#All],10,FALSE),0)</f>
        <v>0</v>
      </c>
      <c r="BC77" s="25">
        <f>IF(Table1[[#This Row],[Adjusted_ULife_HP]]=7,VLOOKUP(Table1[[#This Row],[Item_Handpump]],[1]!Table2[#All],10,FALSE),0)</f>
        <v>0</v>
      </c>
      <c r="BD77" s="25">
        <f>IF(Table1[[#This Row],[Adjusted_ULife_PF]]=7,VLOOKUP(Table1[[#This Row],[Item_Platform]],[1]!Table2[#All],10,FALSE),0)</f>
        <v>0</v>
      </c>
      <c r="BE77" s="25">
        <f>SUM(Table1[[#This Row],[yr 7_wl]:[yr 7_pf]])</f>
        <v>0</v>
      </c>
      <c r="BF77" s="25">
        <f>IF(Table1[[#This Row],[Years_Next_Rehab_Well]]=8,VLOOKUP(Table1[[#This Row],[Item_Rehab_WL]],[1]!Table2[#All],11,FALSE),0)</f>
        <v>0</v>
      </c>
      <c r="BG77" s="25">
        <f>IF(Table1[[#This Row],[Adjusted_ULife_HP]]=8,VLOOKUP(Table1[[#This Row],[Item_Handpump]],[1]!Table2[#All],11,FALSE),0)</f>
        <v>0</v>
      </c>
      <c r="BH77" s="25">
        <f>IF(Table1[[#This Row],[Adjusted_ULife_PF]]=8,VLOOKUP(Table1[[#This Row],[Item_Platform]],[1]!Table2[#All],11,FALSE),0)</f>
        <v>0</v>
      </c>
      <c r="BI77" s="25">
        <f>SUM(Table1[[#This Row],[yr 8_wl]:[yr 8_pf]])</f>
        <v>0</v>
      </c>
      <c r="BJ77" s="25">
        <f>IF(Table1[[#This Row],[Years_Next_Rehab_Well]]=9,VLOOKUP(Table1[[#This Row],[Item_Rehab_WL]],[1]!Table2[#All],12,FALSE),0)</f>
        <v>0</v>
      </c>
      <c r="BK77" s="25">
        <f>IF(Table1[[#This Row],[Adjusted_ULife_HP]]=9,VLOOKUP(Table1[[#This Row],[Item_Handpump]],[1]!Table2[#All],12,FALSE),0)</f>
        <v>0</v>
      </c>
      <c r="BL77" s="25">
        <f>IF(Table1[[#This Row],[Adjusted_ULife_PF]]=9,VLOOKUP(Table1[[#This Row],[Item_Platform]],[1]!Table2[#All],12,FALSE),0)</f>
        <v>0</v>
      </c>
      <c r="BM77" s="25">
        <f>SUM(Table1[[#This Row],[yr 9_wl]:[yr 9_pf]])</f>
        <v>0</v>
      </c>
      <c r="BN77" s="25">
        <f>IF(Table1[[#This Row],[Years_Next_Rehab_Well]]=10,VLOOKUP(Table1[[#This Row],[Item_Rehab_WL]],[1]!Table2[#All],13,FALSE),0)</f>
        <v>0</v>
      </c>
      <c r="BO77" s="25">
        <f>IF(Table1[[#This Row],[Adjusted_ULife_HP]]=10,VLOOKUP(Table1[[#This Row],[Item_Handpump]],[1]!Table2[#All],13,FALSE),0)</f>
        <v>0</v>
      </c>
      <c r="BP77" s="25">
        <f>IF(Table1[[#This Row],[Adjusted_ULife_PF]]=10,VLOOKUP(Table1[[#This Row],[Item_Platform]],[1]!Table2[#All],13,FALSE),0)</f>
        <v>0</v>
      </c>
      <c r="BQ77" s="25">
        <f>SUM(Table1[[#This Row],[yr 10_wl]:[yr 10_pf]])</f>
        <v>0</v>
      </c>
      <c r="BR77" s="25">
        <f>IF(Table1[[#This Row],[Years_Next_Rehab_Well]]=11,VLOOKUP(Table1[[#This Row],[Item_Rehab_WL]],[1]!Table2[#All],14,FALSE),0)</f>
        <v>0</v>
      </c>
      <c r="BS77" s="25">
        <f>IF(Table1[[#This Row],[Adjusted_ULife_HP]]=11,VLOOKUP(Table1[[#This Row],[Item_Handpump]],[1]!Table2[#All],14,FALSE),0)</f>
        <v>0</v>
      </c>
      <c r="BT77" s="25">
        <f>IF(Table1[[#This Row],[Adjusted_ULife_PF]]=11,VLOOKUP(Table1[[#This Row],[Item_Platform]],[1]!Table2[#All],14,FALSE),0)</f>
        <v>0</v>
      </c>
      <c r="BU77" s="25">
        <f>SUM(Table1[[#This Row],[yr 11_wl]:[yr 11_pf]])</f>
        <v>0</v>
      </c>
      <c r="BV77" s="25">
        <f>IF(Table1[[#This Row],[Years_Next_Rehab_Well]]=12,VLOOKUP(Table1[[#This Row],[Item_Rehab_WL]],[1]!Table2[#All],15,FALSE),0)</f>
        <v>0</v>
      </c>
      <c r="BW77" s="25">
        <f>IF(Table1[[#This Row],[Adjusted_ULife_HP]]=12,VLOOKUP(Table1[[#This Row],[Item_Handpump]],[1]!Table2[#All],15,FALSE),0)</f>
        <v>0</v>
      </c>
      <c r="BX77" s="25">
        <f>IF(Table1[[#This Row],[Adjusted_ULife_PF]]=12,VLOOKUP(Table1[[#This Row],[Item_Platform]],[1]!Table2[#All],15,FALSE),0)</f>
        <v>0</v>
      </c>
      <c r="BY77" s="25">
        <f>SUM(Table1[[#This Row],[yr 12_wl]:[yr 12_pf]])</f>
        <v>0</v>
      </c>
      <c r="BZ77" s="25">
        <f>IF(Table1[[#This Row],[Years_Next_Rehab_Well]]=13,VLOOKUP(Table1[[#This Row],[Item_Rehab_WL]],[1]!Table2[#All],16,FALSE),0)</f>
        <v>0</v>
      </c>
      <c r="CA77" s="25">
        <f>IF(Table1[[#This Row],[Adjusted_ULife_HP]]=13,VLOOKUP(Table1[[#This Row],[Item_Handpump]],[1]!Table2[#All],16,FALSE),0)</f>
        <v>0</v>
      </c>
      <c r="CB77" s="25">
        <f>IF(Table1[[#This Row],[Adjusted_ULife_PF]]=13,VLOOKUP(Table1[[#This Row],[Item_Platform]],[1]!Table2[#All],16,FALSE),0)</f>
        <v>0</v>
      </c>
      <c r="CC77" s="25">
        <f>SUM(Table1[[#This Row],[yr 13_wl]:[yr 13_pf]])</f>
        <v>0</v>
      </c>
      <c r="CD77" s="12"/>
    </row>
    <row r="78" spans="1:82" s="11" customFormat="1" x14ac:dyDescent="0.25">
      <c r="A78" s="11" t="str">
        <f>IF([1]Input_monitoring_data!A74="","",[1]Input_monitoring_data!A74)</f>
        <v>c31u-9e24-b9vt</v>
      </c>
      <c r="B78" s="22" t="str">
        <f>[1]Input_monitoring_data!BH74</f>
        <v>GOAMU</v>
      </c>
      <c r="C78" s="22" t="str">
        <f>[1]Input_monitoring_data!BI74</f>
        <v>AKOSAKROM</v>
      </c>
      <c r="D78" s="22" t="str">
        <f>[1]Input_monitoring_data!P74</f>
        <v>7.016220071208277</v>
      </c>
      <c r="E78" s="22" t="str">
        <f>[1]Input_monitoring_data!Q74</f>
        <v>-2.4531651540910935</v>
      </c>
      <c r="F78" s="22" t="str">
        <f>[1]Input_monitoring_data!V74</f>
        <v>Akosa Nkwanta</v>
      </c>
      <c r="G78" s="23" t="str">
        <f>[1]Input_monitoring_data!U74</f>
        <v>Borehole</v>
      </c>
      <c r="H78" s="22">
        <f>[1]Input_monitoring_data!X74</f>
        <v>2012</v>
      </c>
      <c r="I78" s="21" t="str">
        <f>[1]Input_monitoring_data!AB74</f>
        <v>Borehole redevelopment</v>
      </c>
      <c r="J78" s="21">
        <f>[1]Input_monitoring_data!AC74</f>
        <v>0</v>
      </c>
      <c r="K78" s="23" t="str">
        <f>[1]Input_monitoring_data!W74</f>
        <v>Vergnet</v>
      </c>
      <c r="L78" s="22">
        <f>[1]Input_monitoring_data!X74</f>
        <v>2012</v>
      </c>
      <c r="M78" s="21" t="str">
        <f>IF([1]Input_monitoring_data!BL74&gt;'Point Sources_Asset_Register_'!L78,[1]Input_monitoring_data!BL74,"")</f>
        <v/>
      </c>
      <c r="N78" s="22" t="str">
        <f>[1]Input_monitoring_data!BQ74</f>
        <v>functional</v>
      </c>
      <c r="O78" s="22">
        <f>[1]Input_monitoring_data!AJ74</f>
        <v>0</v>
      </c>
      <c r="P78" s="23" t="s">
        <v>0</v>
      </c>
      <c r="Q78" s="22">
        <f>L78</f>
        <v>2012</v>
      </c>
      <c r="R78" s="21" t="str">
        <f>M78</f>
        <v/>
      </c>
      <c r="S78" s="20">
        <f>[1]Input_EUL_CRC_ERC!$B$17-Table1[[#This Row],[Year Installed_WL]]</f>
        <v>5</v>
      </c>
      <c r="T78" s="20">
        <f>[1]Input_EUL_CRC_ERC!$B$17-(IF(Table1[[#This Row],[Year Last_Rehab_WL ]]=0,Table1[[#This Row],[Year Installed_WL]],[1]Input_EUL_CRC_ERC!$B$17-Table1[[#This Row],[Year Last_Rehab_WL ]]))</f>
        <v>5</v>
      </c>
      <c r="U78" s="20">
        <f>(VLOOKUP(Table1[[#This Row],[Item_Rehab_WL]],[1]Input_EUL_CRC_ERC!$C$17:$E$27,2,FALSE)-Table1[[#This Row],[Last Rehab Age]])</f>
        <v>10</v>
      </c>
      <c r="V78" s="19">
        <f>[1]Input_EUL_CRC_ERC!$B$17-Table1[[#This Row],[Year Installed_HP]]</f>
        <v>5</v>
      </c>
      <c r="W78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78" s="19">
        <f>[1]Input_EUL_CRC_ERC!$B$17-Table1[[#This Row],[Year Installed_PF]]</f>
        <v>5</v>
      </c>
      <c r="Y78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78" s="25">
        <f>IF(Table1[[#This Row],[Years_Next_Rehab_Well]]&lt;=0,VLOOKUP(Table1[[#This Row],[Item_Rehab_WL]],[1]!Table2[#All],3,FALSE),0)</f>
        <v>0</v>
      </c>
      <c r="AA78" s="18">
        <f>IF(Table1[[#This Row],[Adjusted_ULife_HP]]&lt;=0,VLOOKUP(Table1[[#This Row],[Item_Handpump]],[1]!Table2[#All],3,FALSE),0)</f>
        <v>0</v>
      </c>
      <c r="AB78" s="18">
        <f>IF(Table1[[#This Row],[Adjusted_ULife_PF]]&lt;=0,VLOOKUP(Table1[[#This Row],[Item_Platform]],[1]!Table2[#All],3,FALSE),0)</f>
        <v>0</v>
      </c>
      <c r="AC78" s="18">
        <f>SUM(Table1[[#This Row],[current yr_wl]:[current yr_pf]])</f>
        <v>0</v>
      </c>
      <c r="AD78" s="25">
        <f>IF(Table1[[#This Row],[Years_Next_Rehab_Well]]=1,VLOOKUP(Table1[[#This Row],[Item_Rehab_WL]],[1]!Table2[#All],4,FALSE),0)</f>
        <v>0</v>
      </c>
      <c r="AE78" s="25">
        <f>IF(Table1[[#This Row],[Adjusted_ULife_HP]]=1,VLOOKUP(Table1[[#This Row],[Item_Handpump]],[1]!Table2[#All],4,FALSE),0)</f>
        <v>0</v>
      </c>
      <c r="AF78" s="25">
        <f>IF(Table1[[#This Row],[Adjusted_ULife_PF]]=1,VLOOKUP(Table1[[#This Row],[Item_Platform]],[1]!Table2[#All],4,FALSE),0)</f>
        <v>0</v>
      </c>
      <c r="AG78" s="25">
        <f>SUM(Table1[[#This Row],[yr 1_wl]:[yr 1_pf]])</f>
        <v>0</v>
      </c>
      <c r="AH78" s="25">
        <f>IF(Table1[[#This Row],[Years_Next_Rehab_Well]]=2,VLOOKUP(Table1[[#This Row],[Item_Rehab_WL]],[1]!Table2[#All],5,FALSE),0)</f>
        <v>0</v>
      </c>
      <c r="AI78" s="25">
        <f>IF(Table1[[#This Row],[Adjusted_ULife_HP]]=2,VLOOKUP(Table1[[#This Row],[Item_Handpump]],[1]!Table2[#All],5,FALSE),0)</f>
        <v>0</v>
      </c>
      <c r="AJ78" s="25">
        <f>IF(Table1[[#This Row],[Adjusted_ULife_PF]]=2,VLOOKUP(Table1[[#This Row],[Item_Platform]],[1]!Table2[#All],5,FALSE),0)</f>
        <v>0</v>
      </c>
      <c r="AK78" s="25">
        <f>SUM(Table1[[#This Row],[yr 2_wl]:[yr 2_pf]])</f>
        <v>0</v>
      </c>
      <c r="AL78" s="25">
        <f>IF(Table1[[#This Row],[Years_Next_Rehab_Well]]=3,VLOOKUP(Table1[[#This Row],[Item_Rehab_WL]],[1]!Table2[#All],6,FALSE),0)</f>
        <v>0</v>
      </c>
      <c r="AM78" s="25">
        <f>IF(Table1[[#This Row],[Adjusted_ULife_HP]]=3,VLOOKUP(Table1[[#This Row],[Item_Handpump]],[1]!Table2[#All],6,FALSE),0)</f>
        <v>0</v>
      </c>
      <c r="AN78" s="25">
        <f>IF(Table1[[#This Row],[Adjusted_ULife_PF]]=3,VLOOKUP(Table1[[#This Row],[Item_Platform]],[1]!Table2[#All],6,FALSE),0)</f>
        <v>0</v>
      </c>
      <c r="AO78" s="25">
        <f>SUM(Table1[[#This Row],[yr 3_wl]:[yr 3_pf]])</f>
        <v>0</v>
      </c>
      <c r="AP78" s="25">
        <f>IF(Table1[[#This Row],[Years_Next_Rehab_Well]]=4,VLOOKUP(Table1[[#This Row],[Item_Rehab_WL]],[1]!Table2[#All],7,FALSE),0)</f>
        <v>0</v>
      </c>
      <c r="AQ78" s="25">
        <f>IF(Table1[[#This Row],[Adjusted_ULife_HP]]=4,VLOOKUP(Table1[[#This Row],[Item_Handpump]],[1]!Table2[#All],7,FALSE),0)</f>
        <v>0</v>
      </c>
      <c r="AR78" s="25">
        <f>IF(Table1[[#This Row],[Adjusted_ULife_PF]]=4,VLOOKUP(Table1[[#This Row],[Item_Platform]],[1]!Table2[#All],7,FALSE),0)</f>
        <v>0</v>
      </c>
      <c r="AS78" s="25">
        <f>SUM(Table1[[#This Row],[yr 4_wl]:[yr 4_pf]])</f>
        <v>0</v>
      </c>
      <c r="AT78" s="25">
        <f>IF(Table1[[#This Row],[Years_Next_Rehab_Well]]=5,VLOOKUP(Table1[[#This Row],[Item_Rehab_WL]],[1]!Table2[#All],8,FALSE),0)</f>
        <v>0</v>
      </c>
      <c r="AU78" s="25">
        <f>IF(Table1[[#This Row],[Adjusted_ULife_HP]]=5,VLOOKUP(Table1[[#This Row],[Item_Handpump]],[1]!Table2[#All],8,FALSE),0)</f>
        <v>0</v>
      </c>
      <c r="AV78" s="25">
        <f>IF(Table1[[#This Row],[Adjusted_ULife_PF]]=5,VLOOKUP(Table1[[#This Row],[Item_Platform]],[1]!Table2[#All],8,FALSE),0)</f>
        <v>2643.5125248000018</v>
      </c>
      <c r="AW78" s="25">
        <f>SUM(Table1[[#This Row],[yr 5_wl]:[yr 5_pf]])</f>
        <v>2643.5125248000018</v>
      </c>
      <c r="AX78" s="25">
        <f>IF(Table1[[#This Row],[Years_Next_Rehab_Well]]=6,VLOOKUP(Table1[[#This Row],[Item_Rehab_WL]],[1]!Table2[#All],9,FALSE),0)</f>
        <v>0</v>
      </c>
      <c r="AY78" s="25">
        <f>IF(Table1[[#This Row],[Adjusted_ULife_HP]]=6,VLOOKUP(Table1[[#This Row],[Item_Handpump]],[1]!Table2[#All],9,FALSE),0)</f>
        <v>0</v>
      </c>
      <c r="AZ78" s="25">
        <f>IF(Table1[[#This Row],[Adjusted_ULife_PF]]=6,VLOOKUP(Table1[[#This Row],[Item_Platform]],[1]!Table2[#All],9,FALSE),0)</f>
        <v>0</v>
      </c>
      <c r="BA78" s="25">
        <f>SUM(Table1[[#This Row],[yr 6_wl]:[yr 6_pf]])</f>
        <v>0</v>
      </c>
      <c r="BB78" s="25">
        <f>IF(Table1[[#This Row],[Years_Next_Rehab_Well]]=7,VLOOKUP(Table1[[#This Row],[Item_Rehab_WL]],[1]!Table2[#All],10,FALSE),0)</f>
        <v>0</v>
      </c>
      <c r="BC78" s="25">
        <f>IF(Table1[[#This Row],[Adjusted_ULife_HP]]=7,VLOOKUP(Table1[[#This Row],[Item_Handpump]],[1]!Table2[#All],10,FALSE),0)</f>
        <v>0</v>
      </c>
      <c r="BD78" s="25">
        <f>IF(Table1[[#This Row],[Adjusted_ULife_PF]]=7,VLOOKUP(Table1[[#This Row],[Item_Platform]],[1]!Table2[#All],10,FALSE),0)</f>
        <v>0</v>
      </c>
      <c r="BE78" s="25">
        <f>SUM(Table1[[#This Row],[yr 7_wl]:[yr 7_pf]])</f>
        <v>0</v>
      </c>
      <c r="BF78" s="25">
        <f>IF(Table1[[#This Row],[Years_Next_Rehab_Well]]=8,VLOOKUP(Table1[[#This Row],[Item_Rehab_WL]],[1]!Table2[#All],11,FALSE),0)</f>
        <v>0</v>
      </c>
      <c r="BG78" s="25">
        <f>IF(Table1[[#This Row],[Adjusted_ULife_HP]]=8,VLOOKUP(Table1[[#This Row],[Item_Handpump]],[1]!Table2[#All],11,FALSE),0)</f>
        <v>0</v>
      </c>
      <c r="BH78" s="25">
        <f>IF(Table1[[#This Row],[Adjusted_ULife_PF]]=8,VLOOKUP(Table1[[#This Row],[Item_Platform]],[1]!Table2[#All],11,FALSE),0)</f>
        <v>0</v>
      </c>
      <c r="BI78" s="25">
        <f>SUM(Table1[[#This Row],[yr 8_wl]:[yr 8_pf]])</f>
        <v>0</v>
      </c>
      <c r="BJ78" s="25">
        <f>IF(Table1[[#This Row],[Years_Next_Rehab_Well]]=9,VLOOKUP(Table1[[#This Row],[Item_Rehab_WL]],[1]!Table2[#All],12,FALSE),0)</f>
        <v>0</v>
      </c>
      <c r="BK78" s="25">
        <f>IF(Table1[[#This Row],[Adjusted_ULife_HP]]=9,VLOOKUP(Table1[[#This Row],[Item_Handpump]],[1]!Table2[#All],12,FALSE),0)</f>
        <v>0</v>
      </c>
      <c r="BL78" s="25">
        <f>IF(Table1[[#This Row],[Adjusted_ULife_PF]]=9,VLOOKUP(Table1[[#This Row],[Item_Platform]],[1]!Table2[#All],12,FALSE),0)</f>
        <v>0</v>
      </c>
      <c r="BM78" s="25">
        <f>SUM(Table1[[#This Row],[yr 9_wl]:[yr 9_pf]])</f>
        <v>0</v>
      </c>
      <c r="BN78" s="25">
        <f>IF(Table1[[#This Row],[Years_Next_Rehab_Well]]=10,VLOOKUP(Table1[[#This Row],[Item_Rehab_WL]],[1]!Table2[#All],13,FALSE),0)</f>
        <v>11388.110097262112</v>
      </c>
      <c r="BO78" s="25">
        <f>IF(Table1[[#This Row],[Adjusted_ULife_HP]]=10,VLOOKUP(Table1[[#This Row],[Item_Handpump]],[1]!Table2[#All],13,FALSE),0)</f>
        <v>0</v>
      </c>
      <c r="BP78" s="25">
        <f>IF(Table1[[#This Row],[Adjusted_ULife_PF]]=10,VLOOKUP(Table1[[#This Row],[Item_Platform]],[1]!Table2[#All],13,FALSE),0)</f>
        <v>0</v>
      </c>
      <c r="BQ78" s="25">
        <f>SUM(Table1[[#This Row],[yr 10_wl]:[yr 10_pf]])</f>
        <v>11388.110097262112</v>
      </c>
      <c r="BR78" s="25">
        <f>IF(Table1[[#This Row],[Years_Next_Rehab_Well]]=11,VLOOKUP(Table1[[#This Row],[Item_Rehab_WL]],[1]!Table2[#All],14,FALSE),0)</f>
        <v>0</v>
      </c>
      <c r="BS78" s="25">
        <f>IF(Table1[[#This Row],[Adjusted_ULife_HP]]=11,VLOOKUP(Table1[[#This Row],[Item_Handpump]],[1]!Table2[#All],14,FALSE),0)</f>
        <v>0</v>
      </c>
      <c r="BT78" s="25">
        <f>IF(Table1[[#This Row],[Adjusted_ULife_PF]]=11,VLOOKUP(Table1[[#This Row],[Item_Platform]],[1]!Table2[#All],14,FALSE),0)</f>
        <v>0</v>
      </c>
      <c r="BU78" s="25">
        <f>SUM(Table1[[#This Row],[yr 11_wl]:[yr 11_pf]])</f>
        <v>0</v>
      </c>
      <c r="BV78" s="25">
        <f>IF(Table1[[#This Row],[Years_Next_Rehab_Well]]=12,VLOOKUP(Table1[[#This Row],[Item_Rehab_WL]],[1]!Table2[#All],15,FALSE),0)</f>
        <v>0</v>
      </c>
      <c r="BW78" s="25">
        <f>IF(Table1[[#This Row],[Adjusted_ULife_HP]]=12,VLOOKUP(Table1[[#This Row],[Item_Handpump]],[1]!Table2[#All],15,FALSE),0)</f>
        <v>0</v>
      </c>
      <c r="BX78" s="25">
        <f>IF(Table1[[#This Row],[Adjusted_ULife_PF]]=12,VLOOKUP(Table1[[#This Row],[Item_Platform]],[1]!Table2[#All],15,FALSE),0)</f>
        <v>0</v>
      </c>
      <c r="BY78" s="25">
        <f>SUM(Table1[[#This Row],[yr 12_wl]:[yr 12_pf]])</f>
        <v>0</v>
      </c>
      <c r="BZ78" s="25">
        <f>IF(Table1[[#This Row],[Years_Next_Rehab_Well]]=13,VLOOKUP(Table1[[#This Row],[Item_Rehab_WL]],[1]!Table2[#All],16,FALSE),0)</f>
        <v>0</v>
      </c>
      <c r="CA78" s="25">
        <f>IF(Table1[[#This Row],[Adjusted_ULife_HP]]=13,VLOOKUP(Table1[[#This Row],[Item_Handpump]],[1]!Table2[#All],16,FALSE),0)</f>
        <v>0</v>
      </c>
      <c r="CB78" s="25">
        <f>IF(Table1[[#This Row],[Adjusted_ULife_PF]]=13,VLOOKUP(Table1[[#This Row],[Item_Platform]],[1]!Table2[#All],16,FALSE),0)</f>
        <v>0</v>
      </c>
      <c r="CC78" s="25">
        <f>SUM(Table1[[#This Row],[yr 13_wl]:[yr 13_pf]])</f>
        <v>0</v>
      </c>
      <c r="CD78" s="12"/>
    </row>
    <row r="79" spans="1:82" s="11" customFormat="1" x14ac:dyDescent="0.25">
      <c r="A79" s="11" t="str">
        <f>IF([1]Input_monitoring_data!A75="","",[1]Input_monitoring_data!A75)</f>
        <v>cy2q-5k7f-qpr5</v>
      </c>
      <c r="B79" s="22" t="str">
        <f>[1]Input_monitoring_data!BH75</f>
        <v>Ntotroso</v>
      </c>
      <c r="C79" s="22" t="str">
        <f>[1]Input_monitoring_data!BI75</f>
        <v>Yawusukrom</v>
      </c>
      <c r="D79" s="22" t="str">
        <f>[1]Input_monitoring_data!P75</f>
        <v>7.067801291594365</v>
      </c>
      <c r="E79" s="22" t="str">
        <f>[1]Input_monitoring_data!Q75</f>
        <v>-2.3776678743077913</v>
      </c>
      <c r="F79" s="22" t="str">
        <f>[1]Input_monitoring_data!V75</f>
        <v>Few Meters From The Park</v>
      </c>
      <c r="G79" s="23" t="str">
        <f>[1]Input_monitoring_data!U75</f>
        <v>Borehole</v>
      </c>
      <c r="H79" s="22">
        <f>[1]Input_monitoring_data!X75</f>
        <v>1998</v>
      </c>
      <c r="I79" s="21" t="str">
        <f>[1]Input_monitoring_data!AB75</f>
        <v>Borehole redevelopment</v>
      </c>
      <c r="J79" s="21">
        <f>[1]Input_monitoring_data!AC75</f>
        <v>0</v>
      </c>
      <c r="K79" s="23" t="str">
        <f>[1]Input_monitoring_data!W75</f>
        <v>AfriDev</v>
      </c>
      <c r="L79" s="22">
        <f>[1]Input_monitoring_data!X75</f>
        <v>1998</v>
      </c>
      <c r="M79" s="21">
        <f>IF([1]Input_monitoring_data!BL75&gt;'Point Sources_Asset_Register_'!L79,[1]Input_monitoring_data!BL75,"")</f>
        <v>2013</v>
      </c>
      <c r="N79" s="22" t="str">
        <f>[1]Input_monitoring_data!BQ75</f>
        <v>not functional</v>
      </c>
      <c r="O79" s="22" t="str">
        <f>[1]Input_monitoring_data!AJ75</f>
        <v>Handpump broken</v>
      </c>
      <c r="P79" s="23" t="s">
        <v>0</v>
      </c>
      <c r="Q79" s="22">
        <f>L79</f>
        <v>1998</v>
      </c>
      <c r="R79" s="21">
        <f>M79</f>
        <v>2013</v>
      </c>
      <c r="S79" s="20">
        <f>[1]Input_EUL_CRC_ERC!$B$17-Table1[[#This Row],[Year Installed_WL]]</f>
        <v>19</v>
      </c>
      <c r="T79" s="20">
        <f>[1]Input_EUL_CRC_ERC!$B$17-(IF(Table1[[#This Row],[Year Last_Rehab_WL ]]=0,Table1[[#This Row],[Year Installed_WL]],[1]Input_EUL_CRC_ERC!$B$17-Table1[[#This Row],[Year Last_Rehab_WL ]]))</f>
        <v>19</v>
      </c>
      <c r="U79" s="20">
        <f>(VLOOKUP(Table1[[#This Row],[Item_Rehab_WL]],[1]Input_EUL_CRC_ERC!$C$17:$E$27,2,FALSE)-Table1[[#This Row],[Last Rehab Age]])</f>
        <v>-4</v>
      </c>
      <c r="V79" s="19">
        <f>[1]Input_EUL_CRC_ERC!$B$17-Table1[[#This Row],[Year Installed_HP]]</f>
        <v>19</v>
      </c>
      <c r="W79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79" s="19">
        <f>[1]Input_EUL_CRC_ERC!$B$17-Table1[[#This Row],[Year Installed_PF]]</f>
        <v>19</v>
      </c>
      <c r="Y79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79" s="25">
        <f>IF(Table1[[#This Row],[Years_Next_Rehab_Well]]&lt;=0,VLOOKUP(Table1[[#This Row],[Item_Rehab_WL]],[1]!Table2[#All],3,FALSE),0)</f>
        <v>3666.6666666666665</v>
      </c>
      <c r="AA79" s="18">
        <f>IF(Table1[[#This Row],[Adjusted_ULife_HP]]&lt;=0,VLOOKUP(Table1[[#This Row],[Item_Handpump]],[1]!Table2[#All],3,FALSE),0)</f>
        <v>0</v>
      </c>
      <c r="AB79" s="18">
        <f>IF(Table1[[#This Row],[Adjusted_ULife_PF]]&lt;=0,VLOOKUP(Table1[[#This Row],[Item_Platform]],[1]!Table2[#All],3,FALSE),0)</f>
        <v>0</v>
      </c>
      <c r="AC79" s="18">
        <f>SUM(Table1[[#This Row],[current yr_wl]:[current yr_pf]])</f>
        <v>3666.6666666666665</v>
      </c>
      <c r="AD79" s="25">
        <f>IF(Table1[[#This Row],[Years_Next_Rehab_Well]]=1,VLOOKUP(Table1[[#This Row],[Item_Rehab_WL]],[1]!Table2[#All],4,FALSE),0)</f>
        <v>0</v>
      </c>
      <c r="AE79" s="25">
        <f>IF(Table1[[#This Row],[Adjusted_ULife_HP]]=1,VLOOKUP(Table1[[#This Row],[Item_Handpump]],[1]!Table2[#All],4,FALSE),0)</f>
        <v>0</v>
      </c>
      <c r="AF79" s="25">
        <f>IF(Table1[[#This Row],[Adjusted_ULife_PF]]=1,VLOOKUP(Table1[[#This Row],[Item_Platform]],[1]!Table2[#All],4,FALSE),0)</f>
        <v>0</v>
      </c>
      <c r="AG79" s="25">
        <f>SUM(Table1[[#This Row],[yr 1_wl]:[yr 1_pf]])</f>
        <v>0</v>
      </c>
      <c r="AH79" s="25">
        <f>IF(Table1[[#This Row],[Years_Next_Rehab_Well]]=2,VLOOKUP(Table1[[#This Row],[Item_Rehab_WL]],[1]!Table2[#All],5,FALSE),0)</f>
        <v>0</v>
      </c>
      <c r="AI79" s="25">
        <f>IF(Table1[[#This Row],[Adjusted_ULife_HP]]=2,VLOOKUP(Table1[[#This Row],[Item_Handpump]],[1]!Table2[#All],5,FALSE),0)</f>
        <v>0</v>
      </c>
      <c r="AJ79" s="25">
        <f>IF(Table1[[#This Row],[Adjusted_ULife_PF]]=2,VLOOKUP(Table1[[#This Row],[Item_Platform]],[1]!Table2[#All],5,FALSE),0)</f>
        <v>0</v>
      </c>
      <c r="AK79" s="25">
        <f>SUM(Table1[[#This Row],[yr 2_wl]:[yr 2_pf]])</f>
        <v>0</v>
      </c>
      <c r="AL79" s="25">
        <f>IF(Table1[[#This Row],[Years_Next_Rehab_Well]]=3,VLOOKUP(Table1[[#This Row],[Item_Rehab_WL]],[1]!Table2[#All],6,FALSE),0)</f>
        <v>0</v>
      </c>
      <c r="AM79" s="25">
        <f>IF(Table1[[#This Row],[Adjusted_ULife_HP]]=3,VLOOKUP(Table1[[#This Row],[Item_Handpump]],[1]!Table2[#All],6,FALSE),0)</f>
        <v>0</v>
      </c>
      <c r="AN79" s="25">
        <f>IF(Table1[[#This Row],[Adjusted_ULife_PF]]=3,VLOOKUP(Table1[[#This Row],[Item_Platform]],[1]!Table2[#All],6,FALSE),0)</f>
        <v>0</v>
      </c>
      <c r="AO79" s="25">
        <f>SUM(Table1[[#This Row],[yr 3_wl]:[yr 3_pf]])</f>
        <v>0</v>
      </c>
      <c r="AP79" s="25">
        <f>IF(Table1[[#This Row],[Years_Next_Rehab_Well]]=4,VLOOKUP(Table1[[#This Row],[Item_Rehab_WL]],[1]!Table2[#All],7,FALSE),0)</f>
        <v>0</v>
      </c>
      <c r="AQ79" s="25">
        <f>IF(Table1[[#This Row],[Adjusted_ULife_HP]]=4,VLOOKUP(Table1[[#This Row],[Item_Handpump]],[1]!Table2[#All],7,FALSE),0)</f>
        <v>0</v>
      </c>
      <c r="AR79" s="25">
        <f>IF(Table1[[#This Row],[Adjusted_ULife_PF]]=4,VLOOKUP(Table1[[#This Row],[Item_Platform]],[1]!Table2[#All],7,FALSE),0)</f>
        <v>0</v>
      </c>
      <c r="AS79" s="25">
        <f>SUM(Table1[[#This Row],[yr 4_wl]:[yr 4_pf]])</f>
        <v>0</v>
      </c>
      <c r="AT79" s="25">
        <f>IF(Table1[[#This Row],[Years_Next_Rehab_Well]]=5,VLOOKUP(Table1[[#This Row],[Item_Rehab_WL]],[1]!Table2[#All],8,FALSE),0)</f>
        <v>0</v>
      </c>
      <c r="AU79" s="25">
        <f>IF(Table1[[#This Row],[Adjusted_ULife_HP]]=5,VLOOKUP(Table1[[#This Row],[Item_Handpump]],[1]!Table2[#All],8,FALSE),0)</f>
        <v>0</v>
      </c>
      <c r="AV79" s="25">
        <f>IF(Table1[[#This Row],[Adjusted_ULife_PF]]=5,VLOOKUP(Table1[[#This Row],[Item_Platform]],[1]!Table2[#All],8,FALSE),0)</f>
        <v>0</v>
      </c>
      <c r="AW79" s="25">
        <f>SUM(Table1[[#This Row],[yr 5_wl]:[yr 5_pf]])</f>
        <v>0</v>
      </c>
      <c r="AX79" s="25">
        <f>IF(Table1[[#This Row],[Years_Next_Rehab_Well]]=6,VLOOKUP(Table1[[#This Row],[Item_Rehab_WL]],[1]!Table2[#All],9,FALSE),0)</f>
        <v>0</v>
      </c>
      <c r="AY79" s="25">
        <f>IF(Table1[[#This Row],[Adjusted_ULife_HP]]=6,VLOOKUP(Table1[[#This Row],[Item_Handpump]],[1]!Table2[#All],9,FALSE),0)</f>
        <v>0</v>
      </c>
      <c r="AZ79" s="25">
        <f>IF(Table1[[#This Row],[Adjusted_ULife_PF]]=6,VLOOKUP(Table1[[#This Row],[Item_Platform]],[1]!Table2[#All],9,FALSE),0)</f>
        <v>2960.7340277760022</v>
      </c>
      <c r="BA79" s="25">
        <f>SUM(Table1[[#This Row],[yr 6_wl]:[yr 6_pf]])</f>
        <v>2960.7340277760022</v>
      </c>
      <c r="BB79" s="25">
        <f>IF(Table1[[#This Row],[Years_Next_Rehab_Well]]=7,VLOOKUP(Table1[[#This Row],[Item_Rehab_WL]],[1]!Table2[#All],10,FALSE),0)</f>
        <v>0</v>
      </c>
      <c r="BC79" s="25">
        <f>IF(Table1[[#This Row],[Adjusted_ULife_HP]]=7,VLOOKUP(Table1[[#This Row],[Item_Handpump]],[1]!Table2[#All],10,FALSE),0)</f>
        <v>0</v>
      </c>
      <c r="BD79" s="25">
        <f>IF(Table1[[#This Row],[Adjusted_ULife_PF]]=7,VLOOKUP(Table1[[#This Row],[Item_Platform]],[1]!Table2[#All],10,FALSE),0)</f>
        <v>0</v>
      </c>
      <c r="BE79" s="25">
        <f>SUM(Table1[[#This Row],[yr 7_wl]:[yr 7_pf]])</f>
        <v>0</v>
      </c>
      <c r="BF79" s="25">
        <f>IF(Table1[[#This Row],[Years_Next_Rehab_Well]]=8,VLOOKUP(Table1[[#This Row],[Item_Rehab_WL]],[1]!Table2[#All],11,FALSE),0)</f>
        <v>0</v>
      </c>
      <c r="BG79" s="25">
        <f>IF(Table1[[#This Row],[Adjusted_ULife_HP]]=8,VLOOKUP(Table1[[#This Row],[Item_Handpump]],[1]!Table2[#All],11,FALSE),0)</f>
        <v>0</v>
      </c>
      <c r="BH79" s="25">
        <f>IF(Table1[[#This Row],[Adjusted_ULife_PF]]=8,VLOOKUP(Table1[[#This Row],[Item_Platform]],[1]!Table2[#All],11,FALSE),0)</f>
        <v>0</v>
      </c>
      <c r="BI79" s="25">
        <f>SUM(Table1[[#This Row],[yr 8_wl]:[yr 8_pf]])</f>
        <v>0</v>
      </c>
      <c r="BJ79" s="25">
        <f>IF(Table1[[#This Row],[Years_Next_Rehab_Well]]=9,VLOOKUP(Table1[[#This Row],[Item_Rehab_WL]],[1]!Table2[#All],12,FALSE),0)</f>
        <v>0</v>
      </c>
      <c r="BK79" s="25">
        <f>IF(Table1[[#This Row],[Adjusted_ULife_HP]]=9,VLOOKUP(Table1[[#This Row],[Item_Handpump]],[1]!Table2[#All],12,FALSE),0)</f>
        <v>0</v>
      </c>
      <c r="BL79" s="25">
        <f>IF(Table1[[#This Row],[Adjusted_ULife_PF]]=9,VLOOKUP(Table1[[#This Row],[Item_Platform]],[1]!Table2[#All],12,FALSE),0)</f>
        <v>0</v>
      </c>
      <c r="BM79" s="25">
        <f>SUM(Table1[[#This Row],[yr 9_wl]:[yr 9_pf]])</f>
        <v>0</v>
      </c>
      <c r="BN79" s="25">
        <f>IF(Table1[[#This Row],[Years_Next_Rehab_Well]]=10,VLOOKUP(Table1[[#This Row],[Item_Rehab_WL]],[1]!Table2[#All],13,FALSE),0)</f>
        <v>0</v>
      </c>
      <c r="BO79" s="25">
        <f>IF(Table1[[#This Row],[Adjusted_ULife_HP]]=10,VLOOKUP(Table1[[#This Row],[Item_Handpump]],[1]!Table2[#All],13,FALSE),0)</f>
        <v>0</v>
      </c>
      <c r="BP79" s="25">
        <f>IF(Table1[[#This Row],[Adjusted_ULife_PF]]=10,VLOOKUP(Table1[[#This Row],[Item_Platform]],[1]!Table2[#All],13,FALSE),0)</f>
        <v>0</v>
      </c>
      <c r="BQ79" s="25">
        <f>SUM(Table1[[#This Row],[yr 10_wl]:[yr 10_pf]])</f>
        <v>0</v>
      </c>
      <c r="BR79" s="25">
        <f>IF(Table1[[#This Row],[Years_Next_Rehab_Well]]=11,VLOOKUP(Table1[[#This Row],[Item_Rehab_WL]],[1]!Table2[#All],14,FALSE),0)</f>
        <v>0</v>
      </c>
      <c r="BS79" s="25">
        <f>IF(Table1[[#This Row],[Adjusted_ULife_HP]]=11,VLOOKUP(Table1[[#This Row],[Item_Handpump]],[1]!Table2[#All],14,FALSE),0)</f>
        <v>0</v>
      </c>
      <c r="BT79" s="25">
        <f>IF(Table1[[#This Row],[Adjusted_ULife_PF]]=11,VLOOKUP(Table1[[#This Row],[Item_Platform]],[1]!Table2[#All],14,FALSE),0)</f>
        <v>0</v>
      </c>
      <c r="BU79" s="25">
        <f>SUM(Table1[[#This Row],[yr 11_wl]:[yr 11_pf]])</f>
        <v>0</v>
      </c>
      <c r="BV79" s="25">
        <f>IF(Table1[[#This Row],[Years_Next_Rehab_Well]]=12,VLOOKUP(Table1[[#This Row],[Item_Rehab_WL]],[1]!Table2[#All],15,FALSE),0)</f>
        <v>0</v>
      </c>
      <c r="BW79" s="25">
        <f>IF(Table1[[#This Row],[Adjusted_ULife_HP]]=12,VLOOKUP(Table1[[#This Row],[Item_Handpump]],[1]!Table2[#All],15,FALSE),0)</f>
        <v>0</v>
      </c>
      <c r="BX79" s="25">
        <f>IF(Table1[[#This Row],[Adjusted_ULife_PF]]=12,VLOOKUP(Table1[[#This Row],[Item_Platform]],[1]!Table2[#All],15,FALSE),0)</f>
        <v>0</v>
      </c>
      <c r="BY79" s="25">
        <f>SUM(Table1[[#This Row],[yr 12_wl]:[yr 12_pf]])</f>
        <v>0</v>
      </c>
      <c r="BZ79" s="25">
        <f>IF(Table1[[#This Row],[Years_Next_Rehab_Well]]=13,VLOOKUP(Table1[[#This Row],[Item_Rehab_WL]],[1]!Table2[#All],16,FALSE),0)</f>
        <v>0</v>
      </c>
      <c r="CA79" s="25">
        <f>IF(Table1[[#This Row],[Adjusted_ULife_HP]]=13,VLOOKUP(Table1[[#This Row],[Item_Handpump]],[1]!Table2[#All],16,FALSE),0)</f>
        <v>0</v>
      </c>
      <c r="CB79" s="25">
        <f>IF(Table1[[#This Row],[Adjusted_ULife_PF]]=13,VLOOKUP(Table1[[#This Row],[Item_Platform]],[1]!Table2[#All],16,FALSE),0)</f>
        <v>0</v>
      </c>
      <c r="CC79" s="25">
        <f>SUM(Table1[[#This Row],[yr 13_wl]:[yr 13_pf]])</f>
        <v>0</v>
      </c>
      <c r="CD79" s="12"/>
    </row>
    <row r="80" spans="1:82" s="11" customFormat="1" x14ac:dyDescent="0.25">
      <c r="A80" s="11" t="str">
        <f>IF([1]Input_monitoring_data!A76="","",[1]Input_monitoring_data!A76)</f>
        <v>d1px-n4qy-qqrs</v>
      </c>
      <c r="B80" s="22" t="str">
        <f>[1]Input_monitoring_data!BH76</f>
        <v>Kenyasi No.1</v>
      </c>
      <c r="C80" s="22" t="str">
        <f>[1]Input_monitoring_data!BI76</f>
        <v>Nfahunfaka</v>
      </c>
      <c r="D80" s="22" t="str">
        <f>[1]Input_monitoring_data!P76</f>
        <v>6.963381374940193</v>
      </c>
      <c r="E80" s="22" t="str">
        <f>[1]Input_monitoring_data!Q76</f>
        <v>-2.452140408507097</v>
      </c>
      <c r="F80" s="22" t="str">
        <f>[1]Input_monitoring_data!V76</f>
        <v>At The Roman School Premises</v>
      </c>
      <c r="G80" s="23" t="str">
        <f>[1]Input_monitoring_data!U76</f>
        <v>Borehole</v>
      </c>
      <c r="H80" s="22">
        <f>[1]Input_monitoring_data!X76</f>
        <v>1987</v>
      </c>
      <c r="I80" s="21" t="str">
        <f>[1]Input_monitoring_data!AB76</f>
        <v>Borehole redevelopment</v>
      </c>
      <c r="J80" s="21">
        <f>[1]Input_monitoring_data!AC76</f>
        <v>0</v>
      </c>
      <c r="K80" s="23" t="str">
        <f>[1]Input_monitoring_data!W76</f>
        <v>AfriDev</v>
      </c>
      <c r="L80" s="22">
        <f>[1]Input_monitoring_data!X76</f>
        <v>1987</v>
      </c>
      <c r="M80" s="21">
        <f>IF([1]Input_monitoring_data!BL76&gt;'Point Sources_Asset_Register_'!L80,[1]Input_monitoring_data!BL76,"")</f>
        <v>2014</v>
      </c>
      <c r="N80" s="22" t="str">
        <f>[1]Input_monitoring_data!BQ76</f>
        <v>not functional</v>
      </c>
      <c r="O80" s="22">
        <f>[1]Input_monitoring_data!AJ76</f>
        <v>0</v>
      </c>
      <c r="P80" s="23" t="s">
        <v>0</v>
      </c>
      <c r="Q80" s="22">
        <f>L80</f>
        <v>1987</v>
      </c>
      <c r="R80" s="21">
        <f>M80</f>
        <v>2014</v>
      </c>
      <c r="S80" s="20">
        <f>[1]Input_EUL_CRC_ERC!$B$17-Table1[[#This Row],[Year Installed_WL]]</f>
        <v>30</v>
      </c>
      <c r="T80" s="20">
        <f>[1]Input_EUL_CRC_ERC!$B$17-(IF(Table1[[#This Row],[Year Last_Rehab_WL ]]=0,Table1[[#This Row],[Year Installed_WL]],[1]Input_EUL_CRC_ERC!$B$17-Table1[[#This Row],[Year Last_Rehab_WL ]]))</f>
        <v>30</v>
      </c>
      <c r="U80" s="20">
        <f>(VLOOKUP(Table1[[#This Row],[Item_Rehab_WL]],[1]Input_EUL_CRC_ERC!$C$17:$E$27,2,FALSE)-Table1[[#This Row],[Last Rehab Age]])</f>
        <v>-15</v>
      </c>
      <c r="V80" s="26">
        <f>[1]Input_EUL_CRC_ERC!$B$17-Table1[[#This Row],[Year Installed_HP]]</f>
        <v>30</v>
      </c>
      <c r="W80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80" s="26">
        <f>[1]Input_EUL_CRC_ERC!$B$17-Table1[[#This Row],[Year Installed_PF]]</f>
        <v>30</v>
      </c>
      <c r="Y80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80" s="25">
        <f>IF(Table1[[#This Row],[Years_Next_Rehab_Well]]&lt;=0,VLOOKUP(Table1[[#This Row],[Item_Rehab_WL]],[1]!Table2[#All],3,FALSE),0)</f>
        <v>3666.6666666666665</v>
      </c>
      <c r="AA80" s="25">
        <f>IF(Table1[[#This Row],[Adjusted_ULife_HP]]&lt;=0,VLOOKUP(Table1[[#This Row],[Item_Handpump]],[1]!Table2[#All],3,FALSE),0)</f>
        <v>0</v>
      </c>
      <c r="AB80" s="25">
        <f>IF(Table1[[#This Row],[Adjusted_ULife_PF]]&lt;=0,VLOOKUP(Table1[[#This Row],[Item_Platform]],[1]!Table2[#All],3,FALSE),0)</f>
        <v>0</v>
      </c>
      <c r="AC80" s="25">
        <f>SUM(Table1[[#This Row],[current yr_wl]:[current yr_pf]])</f>
        <v>3666.6666666666665</v>
      </c>
      <c r="AD80" s="25">
        <f>IF(Table1[[#This Row],[Years_Next_Rehab_Well]]=1,VLOOKUP(Table1[[#This Row],[Item_Rehab_WL]],[1]!Table2[#All],4,FALSE),0)</f>
        <v>0</v>
      </c>
      <c r="AE80" s="25">
        <f>IF(Table1[[#This Row],[Adjusted_ULife_HP]]=1,VLOOKUP(Table1[[#This Row],[Item_Handpump]],[1]!Table2[#All],4,FALSE),0)</f>
        <v>0</v>
      </c>
      <c r="AF80" s="25">
        <f>IF(Table1[[#This Row],[Adjusted_ULife_PF]]=1,VLOOKUP(Table1[[#This Row],[Item_Platform]],[1]!Table2[#All],4,FALSE),0)</f>
        <v>0</v>
      </c>
      <c r="AG80" s="25">
        <f>SUM(Table1[[#This Row],[yr 1_wl]:[yr 1_pf]])</f>
        <v>0</v>
      </c>
      <c r="AH80" s="25">
        <f>IF(Table1[[#This Row],[Years_Next_Rehab_Well]]=2,VLOOKUP(Table1[[#This Row],[Item_Rehab_WL]],[1]!Table2[#All],5,FALSE),0)</f>
        <v>0</v>
      </c>
      <c r="AI80" s="25">
        <f>IF(Table1[[#This Row],[Adjusted_ULife_HP]]=2,VLOOKUP(Table1[[#This Row],[Item_Handpump]],[1]!Table2[#All],5,FALSE),0)</f>
        <v>0</v>
      </c>
      <c r="AJ80" s="25">
        <f>IF(Table1[[#This Row],[Adjusted_ULife_PF]]=2,VLOOKUP(Table1[[#This Row],[Item_Platform]],[1]!Table2[#All],5,FALSE),0)</f>
        <v>0</v>
      </c>
      <c r="AK80" s="25">
        <f>SUM(Table1[[#This Row],[yr 2_wl]:[yr 2_pf]])</f>
        <v>0</v>
      </c>
      <c r="AL80" s="25">
        <f>IF(Table1[[#This Row],[Years_Next_Rehab_Well]]=3,VLOOKUP(Table1[[#This Row],[Item_Rehab_WL]],[1]!Table2[#All],6,FALSE),0)</f>
        <v>0</v>
      </c>
      <c r="AM80" s="25">
        <f>IF(Table1[[#This Row],[Adjusted_ULife_HP]]=3,VLOOKUP(Table1[[#This Row],[Item_Handpump]],[1]!Table2[#All],6,FALSE),0)</f>
        <v>0</v>
      </c>
      <c r="AN80" s="25">
        <f>IF(Table1[[#This Row],[Adjusted_ULife_PF]]=3,VLOOKUP(Table1[[#This Row],[Item_Platform]],[1]!Table2[#All],6,FALSE),0)</f>
        <v>0</v>
      </c>
      <c r="AO80" s="25">
        <f>SUM(Table1[[#This Row],[yr 3_wl]:[yr 3_pf]])</f>
        <v>0</v>
      </c>
      <c r="AP80" s="25">
        <f>IF(Table1[[#This Row],[Years_Next_Rehab_Well]]=4,VLOOKUP(Table1[[#This Row],[Item_Rehab_WL]],[1]!Table2[#All],7,FALSE),0)</f>
        <v>0</v>
      </c>
      <c r="AQ80" s="25">
        <f>IF(Table1[[#This Row],[Adjusted_ULife_HP]]=4,VLOOKUP(Table1[[#This Row],[Item_Handpump]],[1]!Table2[#All],7,FALSE),0)</f>
        <v>0</v>
      </c>
      <c r="AR80" s="25">
        <f>IF(Table1[[#This Row],[Adjusted_ULife_PF]]=4,VLOOKUP(Table1[[#This Row],[Item_Platform]],[1]!Table2[#All],7,FALSE),0)</f>
        <v>0</v>
      </c>
      <c r="AS80" s="25">
        <f>SUM(Table1[[#This Row],[yr 4_wl]:[yr 4_pf]])</f>
        <v>0</v>
      </c>
      <c r="AT80" s="25">
        <f>IF(Table1[[#This Row],[Years_Next_Rehab_Well]]=5,VLOOKUP(Table1[[#This Row],[Item_Rehab_WL]],[1]!Table2[#All],8,FALSE),0)</f>
        <v>0</v>
      </c>
      <c r="AU80" s="25">
        <f>IF(Table1[[#This Row],[Adjusted_ULife_HP]]=5,VLOOKUP(Table1[[#This Row],[Item_Handpump]],[1]!Table2[#All],8,FALSE),0)</f>
        <v>0</v>
      </c>
      <c r="AV80" s="25">
        <f>IF(Table1[[#This Row],[Adjusted_ULife_PF]]=5,VLOOKUP(Table1[[#This Row],[Item_Platform]],[1]!Table2[#All],8,FALSE),0)</f>
        <v>0</v>
      </c>
      <c r="AW80" s="25">
        <f>SUM(Table1[[#This Row],[yr 5_wl]:[yr 5_pf]])</f>
        <v>0</v>
      </c>
      <c r="AX80" s="25">
        <f>IF(Table1[[#This Row],[Years_Next_Rehab_Well]]=6,VLOOKUP(Table1[[#This Row],[Item_Rehab_WL]],[1]!Table2[#All],9,FALSE),0)</f>
        <v>0</v>
      </c>
      <c r="AY80" s="25">
        <f>IF(Table1[[#This Row],[Adjusted_ULife_HP]]=6,VLOOKUP(Table1[[#This Row],[Item_Handpump]],[1]!Table2[#All],9,FALSE),0)</f>
        <v>0</v>
      </c>
      <c r="AZ80" s="25">
        <f>IF(Table1[[#This Row],[Adjusted_ULife_PF]]=6,VLOOKUP(Table1[[#This Row],[Item_Platform]],[1]!Table2[#All],9,FALSE),0)</f>
        <v>0</v>
      </c>
      <c r="BA80" s="25">
        <f>SUM(Table1[[#This Row],[yr 6_wl]:[yr 6_pf]])</f>
        <v>0</v>
      </c>
      <c r="BB80" s="25">
        <f>IF(Table1[[#This Row],[Years_Next_Rehab_Well]]=7,VLOOKUP(Table1[[#This Row],[Item_Rehab_WL]],[1]!Table2[#All],10,FALSE),0)</f>
        <v>0</v>
      </c>
      <c r="BC80" s="25">
        <f>IF(Table1[[#This Row],[Adjusted_ULife_HP]]=7,VLOOKUP(Table1[[#This Row],[Item_Handpump]],[1]!Table2[#All],10,FALSE),0)</f>
        <v>0</v>
      </c>
      <c r="BD80" s="25">
        <f>IF(Table1[[#This Row],[Adjusted_ULife_PF]]=7,VLOOKUP(Table1[[#This Row],[Item_Platform]],[1]!Table2[#All],10,FALSE),0)</f>
        <v>3316.0221111091228</v>
      </c>
      <c r="BE80" s="25">
        <f>SUM(Table1[[#This Row],[yr 7_wl]:[yr 7_pf]])</f>
        <v>3316.0221111091228</v>
      </c>
      <c r="BF80" s="25">
        <f>IF(Table1[[#This Row],[Years_Next_Rehab_Well]]=8,VLOOKUP(Table1[[#This Row],[Item_Rehab_WL]],[1]!Table2[#All],11,FALSE),0)</f>
        <v>0</v>
      </c>
      <c r="BG80" s="25">
        <f>IF(Table1[[#This Row],[Adjusted_ULife_HP]]=8,VLOOKUP(Table1[[#This Row],[Item_Handpump]],[1]!Table2[#All],11,FALSE),0)</f>
        <v>0</v>
      </c>
      <c r="BH80" s="25">
        <f>IF(Table1[[#This Row],[Adjusted_ULife_PF]]=8,VLOOKUP(Table1[[#This Row],[Item_Platform]],[1]!Table2[#All],11,FALSE),0)</f>
        <v>0</v>
      </c>
      <c r="BI80" s="25">
        <f>SUM(Table1[[#This Row],[yr 8_wl]:[yr 8_pf]])</f>
        <v>0</v>
      </c>
      <c r="BJ80" s="25">
        <f>IF(Table1[[#This Row],[Years_Next_Rehab_Well]]=9,VLOOKUP(Table1[[#This Row],[Item_Rehab_WL]],[1]!Table2[#All],12,FALSE),0)</f>
        <v>0</v>
      </c>
      <c r="BK80" s="25">
        <f>IF(Table1[[#This Row],[Adjusted_ULife_HP]]=9,VLOOKUP(Table1[[#This Row],[Item_Handpump]],[1]!Table2[#All],12,FALSE),0)</f>
        <v>0</v>
      </c>
      <c r="BL80" s="25">
        <f>IF(Table1[[#This Row],[Adjusted_ULife_PF]]=9,VLOOKUP(Table1[[#This Row],[Item_Platform]],[1]!Table2[#All],12,FALSE),0)</f>
        <v>0</v>
      </c>
      <c r="BM80" s="25">
        <f>SUM(Table1[[#This Row],[yr 9_wl]:[yr 9_pf]])</f>
        <v>0</v>
      </c>
      <c r="BN80" s="25">
        <f>IF(Table1[[#This Row],[Years_Next_Rehab_Well]]=10,VLOOKUP(Table1[[#This Row],[Item_Rehab_WL]],[1]!Table2[#All],13,FALSE),0)</f>
        <v>0</v>
      </c>
      <c r="BO80" s="25">
        <f>IF(Table1[[#This Row],[Adjusted_ULife_HP]]=10,VLOOKUP(Table1[[#This Row],[Item_Handpump]],[1]!Table2[#All],13,FALSE),0)</f>
        <v>0</v>
      </c>
      <c r="BP80" s="25">
        <f>IF(Table1[[#This Row],[Adjusted_ULife_PF]]=10,VLOOKUP(Table1[[#This Row],[Item_Platform]],[1]!Table2[#All],13,FALSE),0)</f>
        <v>0</v>
      </c>
      <c r="BQ80" s="25">
        <f>SUM(Table1[[#This Row],[yr 10_wl]:[yr 10_pf]])</f>
        <v>0</v>
      </c>
      <c r="BR80" s="25">
        <f>IF(Table1[[#This Row],[Years_Next_Rehab_Well]]=11,VLOOKUP(Table1[[#This Row],[Item_Rehab_WL]],[1]!Table2[#All],14,FALSE),0)</f>
        <v>0</v>
      </c>
      <c r="BS80" s="25">
        <f>IF(Table1[[#This Row],[Adjusted_ULife_HP]]=11,VLOOKUP(Table1[[#This Row],[Item_Handpump]],[1]!Table2[#All],14,FALSE),0)</f>
        <v>0</v>
      </c>
      <c r="BT80" s="25">
        <f>IF(Table1[[#This Row],[Adjusted_ULife_PF]]=11,VLOOKUP(Table1[[#This Row],[Item_Platform]],[1]!Table2[#All],14,FALSE),0)</f>
        <v>0</v>
      </c>
      <c r="BU80" s="25">
        <f>SUM(Table1[[#This Row],[yr 11_wl]:[yr 11_pf]])</f>
        <v>0</v>
      </c>
      <c r="BV80" s="25">
        <f>IF(Table1[[#This Row],[Years_Next_Rehab_Well]]=12,VLOOKUP(Table1[[#This Row],[Item_Rehab_WL]],[1]!Table2[#All],15,FALSE),0)</f>
        <v>0</v>
      </c>
      <c r="BW80" s="25">
        <f>IF(Table1[[#This Row],[Adjusted_ULife_HP]]=12,VLOOKUP(Table1[[#This Row],[Item_Handpump]],[1]!Table2[#All],15,FALSE),0)</f>
        <v>0</v>
      </c>
      <c r="BX80" s="25">
        <f>IF(Table1[[#This Row],[Adjusted_ULife_PF]]=12,VLOOKUP(Table1[[#This Row],[Item_Platform]],[1]!Table2[#All],15,FALSE),0)</f>
        <v>0</v>
      </c>
      <c r="BY80" s="25">
        <f>SUM(Table1[[#This Row],[yr 12_wl]:[yr 12_pf]])</f>
        <v>0</v>
      </c>
      <c r="BZ80" s="25">
        <f>IF(Table1[[#This Row],[Years_Next_Rehab_Well]]=13,VLOOKUP(Table1[[#This Row],[Item_Rehab_WL]],[1]!Table2[#All],16,FALSE),0)</f>
        <v>0</v>
      </c>
      <c r="CA80" s="25">
        <f>IF(Table1[[#This Row],[Adjusted_ULife_HP]]=13,VLOOKUP(Table1[[#This Row],[Item_Handpump]],[1]!Table2[#All],16,FALSE),0)</f>
        <v>0</v>
      </c>
      <c r="CB80" s="25">
        <f>IF(Table1[[#This Row],[Adjusted_ULife_PF]]=13,VLOOKUP(Table1[[#This Row],[Item_Platform]],[1]!Table2[#All],16,FALSE),0)</f>
        <v>0</v>
      </c>
      <c r="CC80" s="25">
        <f>SUM(Table1[[#This Row],[yr 13_wl]:[yr 13_pf]])</f>
        <v>0</v>
      </c>
      <c r="CD80" s="12"/>
    </row>
    <row r="81" spans="1:82" s="11" customFormat="1" x14ac:dyDescent="0.25">
      <c r="A81" s="11" t="str">
        <f>IF([1]Input_monitoring_data!A77="","",[1]Input_monitoring_data!A77)</f>
        <v>dfwy-vc9h-buak</v>
      </c>
      <c r="B81" s="22" t="str">
        <f>[1]Input_monitoring_data!BH77</f>
        <v>Gambia</v>
      </c>
      <c r="C81" s="22" t="str">
        <f>[1]Input_monitoring_data!BI77</f>
        <v>Kwadwo Addaikrom</v>
      </c>
      <c r="D81" s="22" t="str">
        <f>[1]Input_monitoring_data!P77</f>
        <v>7.0863004201965705</v>
      </c>
      <c r="E81" s="22" t="str">
        <f>[1]Input_monitoring_data!Q77</f>
        <v>-2.6857645018174625</v>
      </c>
      <c r="F81" s="22" t="str">
        <f>[1]Input_monitoring_data!V77</f>
        <v>Near Master Ansu's House</v>
      </c>
      <c r="G81" s="23" t="str">
        <f>[1]Input_monitoring_data!U77</f>
        <v>Borehole</v>
      </c>
      <c r="H81" s="22">
        <f>[1]Input_monitoring_data!X77</f>
        <v>1992</v>
      </c>
      <c r="I81" s="21" t="str">
        <f>[1]Input_monitoring_data!AB77</f>
        <v>Borehole redevelopment</v>
      </c>
      <c r="J81" s="21">
        <f>[1]Input_monitoring_data!AC77</f>
        <v>0</v>
      </c>
      <c r="K81" s="23" t="str">
        <f>[1]Input_monitoring_data!W77</f>
        <v>AfriDev</v>
      </c>
      <c r="L81" s="22">
        <f>[1]Input_monitoring_data!X77</f>
        <v>1992</v>
      </c>
      <c r="M81" s="21">
        <f>IF([1]Input_monitoring_data!BL77&gt;'Point Sources_Asset_Register_'!L81,[1]Input_monitoring_data!BL77,"")</f>
        <v>2014</v>
      </c>
      <c r="N81" s="22" t="str">
        <f>[1]Input_monitoring_data!BQ77</f>
        <v>functional</v>
      </c>
      <c r="O81" s="22">
        <f>[1]Input_monitoring_data!AJ77</f>
        <v>0</v>
      </c>
      <c r="P81" s="23" t="s">
        <v>0</v>
      </c>
      <c r="Q81" s="22">
        <f>L81</f>
        <v>1992</v>
      </c>
      <c r="R81" s="21">
        <f>M81</f>
        <v>2014</v>
      </c>
      <c r="S81" s="20">
        <f>[1]Input_EUL_CRC_ERC!$B$17-Table1[[#This Row],[Year Installed_WL]]</f>
        <v>25</v>
      </c>
      <c r="T81" s="20">
        <f>[1]Input_EUL_CRC_ERC!$B$17-(IF(Table1[[#This Row],[Year Last_Rehab_WL ]]=0,Table1[[#This Row],[Year Installed_WL]],[1]Input_EUL_CRC_ERC!$B$17-Table1[[#This Row],[Year Last_Rehab_WL ]]))</f>
        <v>25</v>
      </c>
      <c r="U81" s="20">
        <f>(VLOOKUP(Table1[[#This Row],[Item_Rehab_WL]],[1]Input_EUL_CRC_ERC!$C$17:$E$27,2,FALSE)-Table1[[#This Row],[Last Rehab Age]])</f>
        <v>-10</v>
      </c>
      <c r="V81" s="26">
        <f>[1]Input_EUL_CRC_ERC!$B$17-Table1[[#This Row],[Year Installed_HP]]</f>
        <v>25</v>
      </c>
      <c r="W81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81" s="26">
        <f>[1]Input_EUL_CRC_ERC!$B$17-Table1[[#This Row],[Year Installed_PF]]</f>
        <v>25</v>
      </c>
      <c r="Y81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81" s="25">
        <f>IF(Table1[[#This Row],[Years_Next_Rehab_Well]]&lt;=0,VLOOKUP(Table1[[#This Row],[Item_Rehab_WL]],[1]!Table2[#All],3,FALSE),0)</f>
        <v>3666.6666666666665</v>
      </c>
      <c r="AA81" s="25">
        <f>IF(Table1[[#This Row],[Adjusted_ULife_HP]]&lt;=0,VLOOKUP(Table1[[#This Row],[Item_Handpump]],[1]!Table2[#All],3,FALSE),0)</f>
        <v>0</v>
      </c>
      <c r="AB81" s="25">
        <f>IF(Table1[[#This Row],[Adjusted_ULife_PF]]&lt;=0,VLOOKUP(Table1[[#This Row],[Item_Platform]],[1]!Table2[#All],3,FALSE),0)</f>
        <v>0</v>
      </c>
      <c r="AC81" s="25">
        <f>SUM(Table1[[#This Row],[current yr_wl]:[current yr_pf]])</f>
        <v>3666.6666666666665</v>
      </c>
      <c r="AD81" s="25">
        <f>IF(Table1[[#This Row],[Years_Next_Rehab_Well]]=1,VLOOKUP(Table1[[#This Row],[Item_Rehab_WL]],[1]!Table2[#All],4,FALSE),0)</f>
        <v>0</v>
      </c>
      <c r="AE81" s="25">
        <f>IF(Table1[[#This Row],[Adjusted_ULife_HP]]=1,VLOOKUP(Table1[[#This Row],[Item_Handpump]],[1]!Table2[#All],4,FALSE),0)</f>
        <v>0</v>
      </c>
      <c r="AF81" s="25">
        <f>IF(Table1[[#This Row],[Adjusted_ULife_PF]]=1,VLOOKUP(Table1[[#This Row],[Item_Platform]],[1]!Table2[#All],4,FALSE),0)</f>
        <v>0</v>
      </c>
      <c r="AG81" s="25">
        <f>SUM(Table1[[#This Row],[yr 1_wl]:[yr 1_pf]])</f>
        <v>0</v>
      </c>
      <c r="AH81" s="25">
        <f>IF(Table1[[#This Row],[Years_Next_Rehab_Well]]=2,VLOOKUP(Table1[[#This Row],[Item_Rehab_WL]],[1]!Table2[#All],5,FALSE),0)</f>
        <v>0</v>
      </c>
      <c r="AI81" s="25">
        <f>IF(Table1[[#This Row],[Adjusted_ULife_HP]]=2,VLOOKUP(Table1[[#This Row],[Item_Handpump]],[1]!Table2[#All],5,FALSE),0)</f>
        <v>0</v>
      </c>
      <c r="AJ81" s="25">
        <f>IF(Table1[[#This Row],[Adjusted_ULife_PF]]=2,VLOOKUP(Table1[[#This Row],[Item_Platform]],[1]!Table2[#All],5,FALSE),0)</f>
        <v>0</v>
      </c>
      <c r="AK81" s="25">
        <f>SUM(Table1[[#This Row],[yr 2_wl]:[yr 2_pf]])</f>
        <v>0</v>
      </c>
      <c r="AL81" s="25">
        <f>IF(Table1[[#This Row],[Years_Next_Rehab_Well]]=3,VLOOKUP(Table1[[#This Row],[Item_Rehab_WL]],[1]!Table2[#All],6,FALSE),0)</f>
        <v>0</v>
      </c>
      <c r="AM81" s="25">
        <f>IF(Table1[[#This Row],[Adjusted_ULife_HP]]=3,VLOOKUP(Table1[[#This Row],[Item_Handpump]],[1]!Table2[#All],6,FALSE),0)</f>
        <v>0</v>
      </c>
      <c r="AN81" s="25">
        <f>IF(Table1[[#This Row],[Adjusted_ULife_PF]]=3,VLOOKUP(Table1[[#This Row],[Item_Platform]],[1]!Table2[#All],6,FALSE),0)</f>
        <v>0</v>
      </c>
      <c r="AO81" s="25">
        <f>SUM(Table1[[#This Row],[yr 3_wl]:[yr 3_pf]])</f>
        <v>0</v>
      </c>
      <c r="AP81" s="25">
        <f>IF(Table1[[#This Row],[Years_Next_Rehab_Well]]=4,VLOOKUP(Table1[[#This Row],[Item_Rehab_WL]],[1]!Table2[#All],7,FALSE),0)</f>
        <v>0</v>
      </c>
      <c r="AQ81" s="25">
        <f>IF(Table1[[#This Row],[Adjusted_ULife_HP]]=4,VLOOKUP(Table1[[#This Row],[Item_Handpump]],[1]!Table2[#All],7,FALSE),0)</f>
        <v>0</v>
      </c>
      <c r="AR81" s="25">
        <f>IF(Table1[[#This Row],[Adjusted_ULife_PF]]=4,VLOOKUP(Table1[[#This Row],[Item_Platform]],[1]!Table2[#All],7,FALSE),0)</f>
        <v>0</v>
      </c>
      <c r="AS81" s="25">
        <f>SUM(Table1[[#This Row],[yr 4_wl]:[yr 4_pf]])</f>
        <v>0</v>
      </c>
      <c r="AT81" s="25">
        <f>IF(Table1[[#This Row],[Years_Next_Rehab_Well]]=5,VLOOKUP(Table1[[#This Row],[Item_Rehab_WL]],[1]!Table2[#All],8,FALSE),0)</f>
        <v>0</v>
      </c>
      <c r="AU81" s="25">
        <f>IF(Table1[[#This Row],[Adjusted_ULife_HP]]=5,VLOOKUP(Table1[[#This Row],[Item_Handpump]],[1]!Table2[#All],8,FALSE),0)</f>
        <v>0</v>
      </c>
      <c r="AV81" s="25">
        <f>IF(Table1[[#This Row],[Adjusted_ULife_PF]]=5,VLOOKUP(Table1[[#This Row],[Item_Platform]],[1]!Table2[#All],8,FALSE),0)</f>
        <v>0</v>
      </c>
      <c r="AW81" s="25">
        <f>SUM(Table1[[#This Row],[yr 5_wl]:[yr 5_pf]])</f>
        <v>0</v>
      </c>
      <c r="AX81" s="25">
        <f>IF(Table1[[#This Row],[Years_Next_Rehab_Well]]=6,VLOOKUP(Table1[[#This Row],[Item_Rehab_WL]],[1]!Table2[#All],9,FALSE),0)</f>
        <v>0</v>
      </c>
      <c r="AY81" s="25">
        <f>IF(Table1[[#This Row],[Adjusted_ULife_HP]]=6,VLOOKUP(Table1[[#This Row],[Item_Handpump]],[1]!Table2[#All],9,FALSE),0)</f>
        <v>0</v>
      </c>
      <c r="AZ81" s="25">
        <f>IF(Table1[[#This Row],[Adjusted_ULife_PF]]=6,VLOOKUP(Table1[[#This Row],[Item_Platform]],[1]!Table2[#All],9,FALSE),0)</f>
        <v>0</v>
      </c>
      <c r="BA81" s="25">
        <f>SUM(Table1[[#This Row],[yr 6_wl]:[yr 6_pf]])</f>
        <v>0</v>
      </c>
      <c r="BB81" s="25">
        <f>IF(Table1[[#This Row],[Years_Next_Rehab_Well]]=7,VLOOKUP(Table1[[#This Row],[Item_Rehab_WL]],[1]!Table2[#All],10,FALSE),0)</f>
        <v>0</v>
      </c>
      <c r="BC81" s="25">
        <f>IF(Table1[[#This Row],[Adjusted_ULife_HP]]=7,VLOOKUP(Table1[[#This Row],[Item_Handpump]],[1]!Table2[#All],10,FALSE),0)</f>
        <v>0</v>
      </c>
      <c r="BD81" s="25">
        <f>IF(Table1[[#This Row],[Adjusted_ULife_PF]]=7,VLOOKUP(Table1[[#This Row],[Item_Platform]],[1]!Table2[#All],10,FALSE),0)</f>
        <v>3316.0221111091228</v>
      </c>
      <c r="BE81" s="25">
        <f>SUM(Table1[[#This Row],[yr 7_wl]:[yr 7_pf]])</f>
        <v>3316.0221111091228</v>
      </c>
      <c r="BF81" s="25">
        <f>IF(Table1[[#This Row],[Years_Next_Rehab_Well]]=8,VLOOKUP(Table1[[#This Row],[Item_Rehab_WL]],[1]!Table2[#All],11,FALSE),0)</f>
        <v>0</v>
      </c>
      <c r="BG81" s="25">
        <f>IF(Table1[[#This Row],[Adjusted_ULife_HP]]=8,VLOOKUP(Table1[[#This Row],[Item_Handpump]],[1]!Table2[#All],11,FALSE),0)</f>
        <v>0</v>
      </c>
      <c r="BH81" s="25">
        <f>IF(Table1[[#This Row],[Adjusted_ULife_PF]]=8,VLOOKUP(Table1[[#This Row],[Item_Platform]],[1]!Table2[#All],11,FALSE),0)</f>
        <v>0</v>
      </c>
      <c r="BI81" s="25">
        <f>SUM(Table1[[#This Row],[yr 8_wl]:[yr 8_pf]])</f>
        <v>0</v>
      </c>
      <c r="BJ81" s="25">
        <f>IF(Table1[[#This Row],[Years_Next_Rehab_Well]]=9,VLOOKUP(Table1[[#This Row],[Item_Rehab_WL]],[1]!Table2[#All],12,FALSE),0)</f>
        <v>0</v>
      </c>
      <c r="BK81" s="25">
        <f>IF(Table1[[#This Row],[Adjusted_ULife_HP]]=9,VLOOKUP(Table1[[#This Row],[Item_Handpump]],[1]!Table2[#All],12,FALSE),0)</f>
        <v>0</v>
      </c>
      <c r="BL81" s="25">
        <f>IF(Table1[[#This Row],[Adjusted_ULife_PF]]=9,VLOOKUP(Table1[[#This Row],[Item_Platform]],[1]!Table2[#All],12,FALSE),0)</f>
        <v>0</v>
      </c>
      <c r="BM81" s="25">
        <f>SUM(Table1[[#This Row],[yr 9_wl]:[yr 9_pf]])</f>
        <v>0</v>
      </c>
      <c r="BN81" s="25">
        <f>IF(Table1[[#This Row],[Years_Next_Rehab_Well]]=10,VLOOKUP(Table1[[#This Row],[Item_Rehab_WL]],[1]!Table2[#All],13,FALSE),0)</f>
        <v>0</v>
      </c>
      <c r="BO81" s="25">
        <f>IF(Table1[[#This Row],[Adjusted_ULife_HP]]=10,VLOOKUP(Table1[[#This Row],[Item_Handpump]],[1]!Table2[#All],13,FALSE),0)</f>
        <v>0</v>
      </c>
      <c r="BP81" s="25">
        <f>IF(Table1[[#This Row],[Adjusted_ULife_PF]]=10,VLOOKUP(Table1[[#This Row],[Item_Platform]],[1]!Table2[#All],13,FALSE),0)</f>
        <v>0</v>
      </c>
      <c r="BQ81" s="25">
        <f>SUM(Table1[[#This Row],[yr 10_wl]:[yr 10_pf]])</f>
        <v>0</v>
      </c>
      <c r="BR81" s="25">
        <f>IF(Table1[[#This Row],[Years_Next_Rehab_Well]]=11,VLOOKUP(Table1[[#This Row],[Item_Rehab_WL]],[1]!Table2[#All],14,FALSE),0)</f>
        <v>0</v>
      </c>
      <c r="BS81" s="25">
        <f>IF(Table1[[#This Row],[Adjusted_ULife_HP]]=11,VLOOKUP(Table1[[#This Row],[Item_Handpump]],[1]!Table2[#All],14,FALSE),0)</f>
        <v>0</v>
      </c>
      <c r="BT81" s="25">
        <f>IF(Table1[[#This Row],[Adjusted_ULife_PF]]=11,VLOOKUP(Table1[[#This Row],[Item_Platform]],[1]!Table2[#All],14,FALSE),0)</f>
        <v>0</v>
      </c>
      <c r="BU81" s="25">
        <f>SUM(Table1[[#This Row],[yr 11_wl]:[yr 11_pf]])</f>
        <v>0</v>
      </c>
      <c r="BV81" s="25">
        <f>IF(Table1[[#This Row],[Years_Next_Rehab_Well]]=12,VLOOKUP(Table1[[#This Row],[Item_Rehab_WL]],[1]!Table2[#All],15,FALSE),0)</f>
        <v>0</v>
      </c>
      <c r="BW81" s="25">
        <f>IF(Table1[[#This Row],[Adjusted_ULife_HP]]=12,VLOOKUP(Table1[[#This Row],[Item_Handpump]],[1]!Table2[#All],15,FALSE),0)</f>
        <v>0</v>
      </c>
      <c r="BX81" s="25">
        <f>IF(Table1[[#This Row],[Adjusted_ULife_PF]]=12,VLOOKUP(Table1[[#This Row],[Item_Platform]],[1]!Table2[#All],15,FALSE),0)</f>
        <v>0</v>
      </c>
      <c r="BY81" s="25">
        <f>SUM(Table1[[#This Row],[yr 12_wl]:[yr 12_pf]])</f>
        <v>0</v>
      </c>
      <c r="BZ81" s="25">
        <f>IF(Table1[[#This Row],[Years_Next_Rehab_Well]]=13,VLOOKUP(Table1[[#This Row],[Item_Rehab_WL]],[1]!Table2[#All],16,FALSE),0)</f>
        <v>0</v>
      </c>
      <c r="CA81" s="25">
        <f>IF(Table1[[#This Row],[Adjusted_ULife_HP]]=13,VLOOKUP(Table1[[#This Row],[Item_Handpump]],[1]!Table2[#All],16,FALSE),0)</f>
        <v>0</v>
      </c>
      <c r="CB81" s="25">
        <f>IF(Table1[[#This Row],[Adjusted_ULife_PF]]=13,VLOOKUP(Table1[[#This Row],[Item_Platform]],[1]!Table2[#All],16,FALSE),0)</f>
        <v>0</v>
      </c>
      <c r="CC81" s="25">
        <f>SUM(Table1[[#This Row],[yr 13_wl]:[yr 13_pf]])</f>
        <v>0</v>
      </c>
      <c r="CD81" s="12"/>
    </row>
    <row r="82" spans="1:82" s="11" customFormat="1" x14ac:dyDescent="0.25">
      <c r="A82" s="11" t="str">
        <f>IF([1]Input_monitoring_data!A78="","",[1]Input_monitoring_data!A78)</f>
        <v>dh06-yhbt-qtdk</v>
      </c>
      <c r="B82" s="22" t="str">
        <f>[1]Input_monitoring_data!BH78</f>
        <v>Ntotroso</v>
      </c>
      <c r="C82" s="22" t="str">
        <f>[1]Input_monitoring_data!BI78</f>
        <v>Amamaso Centre</v>
      </c>
      <c r="D82" s="22" t="str">
        <f>[1]Input_monitoring_data!P78</f>
        <v>7.149537969564443</v>
      </c>
      <c r="E82" s="22" t="str">
        <f>[1]Input_monitoring_data!Q78</f>
        <v>-2.341010818667734</v>
      </c>
      <c r="F82" s="22" t="str">
        <f>[1]Input_monitoring_data!V78</f>
        <v>Last Stop</v>
      </c>
      <c r="G82" s="23" t="str">
        <f>[1]Input_monitoring_data!U78</f>
        <v>Hand dug well</v>
      </c>
      <c r="H82" s="22">
        <f>[1]Input_monitoring_data!X78</f>
        <v>1987</v>
      </c>
      <c r="I82" s="21" t="str">
        <f>[1]Input_monitoring_data!AB78</f>
        <v>Borehole redevelopment</v>
      </c>
      <c r="J82" s="21">
        <f>[1]Input_monitoring_data!AC78</f>
        <v>0</v>
      </c>
      <c r="K82" s="23" t="str">
        <f>[1]Input_monitoring_data!W78</f>
        <v>Nira AF-85</v>
      </c>
      <c r="L82" s="22">
        <f>[1]Input_monitoring_data!X78</f>
        <v>1987</v>
      </c>
      <c r="M82" s="21" t="str">
        <f>IF([1]Input_monitoring_data!BL78&gt;'Point Sources_Asset_Register_'!L82,[1]Input_monitoring_data!BL78,"")</f>
        <v/>
      </c>
      <c r="N82" s="22" t="str">
        <f>[1]Input_monitoring_data!BQ78</f>
        <v>not functional</v>
      </c>
      <c r="O82" s="22" t="str">
        <f>[1]Input_monitoring_data!AJ78</f>
        <v>Handpump broken</v>
      </c>
      <c r="P82" s="23" t="s">
        <v>0</v>
      </c>
      <c r="Q82" s="22">
        <f>L82</f>
        <v>1987</v>
      </c>
      <c r="R82" s="21" t="str">
        <f>M82</f>
        <v/>
      </c>
      <c r="S82" s="20">
        <f>[1]Input_EUL_CRC_ERC!$B$17-Table1[[#This Row],[Year Installed_WL]]</f>
        <v>30</v>
      </c>
      <c r="T82" s="20">
        <f>[1]Input_EUL_CRC_ERC!$B$17-(IF(Table1[[#This Row],[Year Last_Rehab_WL ]]=0,Table1[[#This Row],[Year Installed_WL]],[1]Input_EUL_CRC_ERC!$B$17-Table1[[#This Row],[Year Last_Rehab_WL ]]))</f>
        <v>30</v>
      </c>
      <c r="U82" s="20">
        <f>(VLOOKUP(Table1[[#This Row],[Item_Rehab_WL]],[1]Input_EUL_CRC_ERC!$C$17:$E$27,2,FALSE)-Table1[[#This Row],[Last Rehab Age]])</f>
        <v>-15</v>
      </c>
      <c r="V82" s="19">
        <f>[1]Input_EUL_CRC_ERC!$B$17-Table1[[#This Row],[Year Installed_HP]]</f>
        <v>30</v>
      </c>
      <c r="W82" s="19">
        <f>(VLOOKUP(Table1[[#This Row],[Item_Handpump]],[1]!Table2[#All],2,FALSE))-(IF(Table1[[#This Row],[Year Last_Rehab_HP]]="",Table1[[#This Row],[Current Age_Handpump]],[1]Input_EUL_CRC_ERC!$B$17-Table1[[#This Row],[Year Last_Rehab_HP]]))</f>
        <v>-10</v>
      </c>
      <c r="X82" s="19">
        <f>[1]Input_EUL_CRC_ERC!$B$17-Table1[[#This Row],[Year Installed_PF]]</f>
        <v>30</v>
      </c>
      <c r="Y82" s="19">
        <f>(VLOOKUP(Table1[[#This Row],[Item_Platform]],[1]!Table2[#All],2,FALSE))-(IF(Table1[[#This Row],[Year Last_Rehab_PF]]="",Table1[[#This Row],[Current Age_Platform]],[1]Input_EUL_CRC_ERC!$B$17-Table1[[#This Row],[Year Last_Rehab_PF]]))</f>
        <v>-20</v>
      </c>
      <c r="Z82" s="25">
        <f>IF(Table1[[#This Row],[Years_Next_Rehab_Well]]&lt;=0,VLOOKUP(Table1[[#This Row],[Item_Rehab_WL]],[1]!Table2[#All],3,FALSE),0)</f>
        <v>3666.6666666666665</v>
      </c>
      <c r="AA82" s="18">
        <f>IF(Table1[[#This Row],[Adjusted_ULife_HP]]&lt;=0,VLOOKUP(Table1[[#This Row],[Item_Handpump]],[1]!Table2[#All],3,FALSE),0)</f>
        <v>400</v>
      </c>
      <c r="AB82" s="18">
        <f>IF(Table1[[#This Row],[Adjusted_ULife_PF]]&lt;=0,VLOOKUP(Table1[[#This Row],[Item_Platform]],[1]!Table2[#All],3,FALSE),0)</f>
        <v>1500</v>
      </c>
      <c r="AC82" s="18">
        <f>SUM(Table1[[#This Row],[current yr_wl]:[current yr_pf]])</f>
        <v>5566.6666666666661</v>
      </c>
      <c r="AD82" s="25">
        <f>IF(Table1[[#This Row],[Years_Next_Rehab_Well]]=1,VLOOKUP(Table1[[#This Row],[Item_Rehab_WL]],[1]!Table2[#All],4,FALSE),0)</f>
        <v>0</v>
      </c>
      <c r="AE82" s="25">
        <f>IF(Table1[[#This Row],[Adjusted_ULife_HP]]=1,VLOOKUP(Table1[[#This Row],[Item_Handpump]],[1]!Table2[#All],4,FALSE),0)</f>
        <v>0</v>
      </c>
      <c r="AF82" s="25">
        <f>IF(Table1[[#This Row],[Adjusted_ULife_PF]]=1,VLOOKUP(Table1[[#This Row],[Item_Platform]],[1]!Table2[#All],4,FALSE),0)</f>
        <v>0</v>
      </c>
      <c r="AG82" s="25">
        <f>SUM(Table1[[#This Row],[yr 1_wl]:[yr 1_pf]])</f>
        <v>0</v>
      </c>
      <c r="AH82" s="25">
        <f>IF(Table1[[#This Row],[Years_Next_Rehab_Well]]=2,VLOOKUP(Table1[[#This Row],[Item_Rehab_WL]],[1]!Table2[#All],5,FALSE),0)</f>
        <v>0</v>
      </c>
      <c r="AI82" s="25">
        <f>IF(Table1[[#This Row],[Adjusted_ULife_HP]]=2,VLOOKUP(Table1[[#This Row],[Item_Handpump]],[1]!Table2[#All],5,FALSE),0)</f>
        <v>0</v>
      </c>
      <c r="AJ82" s="25">
        <f>IF(Table1[[#This Row],[Adjusted_ULife_PF]]=2,VLOOKUP(Table1[[#This Row],[Item_Platform]],[1]!Table2[#All],5,FALSE),0)</f>
        <v>0</v>
      </c>
      <c r="AK82" s="25">
        <f>SUM(Table1[[#This Row],[yr 2_wl]:[yr 2_pf]])</f>
        <v>0</v>
      </c>
      <c r="AL82" s="25">
        <f>IF(Table1[[#This Row],[Years_Next_Rehab_Well]]=3,VLOOKUP(Table1[[#This Row],[Item_Rehab_WL]],[1]!Table2[#All],6,FALSE),0)</f>
        <v>0</v>
      </c>
      <c r="AM82" s="25">
        <f>IF(Table1[[#This Row],[Adjusted_ULife_HP]]=3,VLOOKUP(Table1[[#This Row],[Item_Handpump]],[1]!Table2[#All],6,FALSE),0)</f>
        <v>0</v>
      </c>
      <c r="AN82" s="25">
        <f>IF(Table1[[#This Row],[Adjusted_ULife_PF]]=3,VLOOKUP(Table1[[#This Row],[Item_Platform]],[1]!Table2[#All],6,FALSE),0)</f>
        <v>0</v>
      </c>
      <c r="AO82" s="25">
        <f>SUM(Table1[[#This Row],[yr 3_wl]:[yr 3_pf]])</f>
        <v>0</v>
      </c>
      <c r="AP82" s="25">
        <f>IF(Table1[[#This Row],[Years_Next_Rehab_Well]]=4,VLOOKUP(Table1[[#This Row],[Item_Rehab_WL]],[1]!Table2[#All],7,FALSE),0)</f>
        <v>0</v>
      </c>
      <c r="AQ82" s="25">
        <f>IF(Table1[[#This Row],[Adjusted_ULife_HP]]=4,VLOOKUP(Table1[[#This Row],[Item_Handpump]],[1]!Table2[#All],7,FALSE),0)</f>
        <v>0</v>
      </c>
      <c r="AR82" s="25">
        <f>IF(Table1[[#This Row],[Adjusted_ULife_PF]]=4,VLOOKUP(Table1[[#This Row],[Item_Platform]],[1]!Table2[#All],7,FALSE),0)</f>
        <v>0</v>
      </c>
      <c r="AS82" s="25">
        <f>SUM(Table1[[#This Row],[yr 4_wl]:[yr 4_pf]])</f>
        <v>0</v>
      </c>
      <c r="AT82" s="25">
        <f>IF(Table1[[#This Row],[Years_Next_Rehab_Well]]=5,VLOOKUP(Table1[[#This Row],[Item_Rehab_WL]],[1]!Table2[#All],8,FALSE),0)</f>
        <v>0</v>
      </c>
      <c r="AU82" s="25">
        <f>IF(Table1[[#This Row],[Adjusted_ULife_HP]]=5,VLOOKUP(Table1[[#This Row],[Item_Handpump]],[1]!Table2[#All],8,FALSE),0)</f>
        <v>0</v>
      </c>
      <c r="AV82" s="25">
        <f>IF(Table1[[#This Row],[Adjusted_ULife_PF]]=5,VLOOKUP(Table1[[#This Row],[Item_Platform]],[1]!Table2[#All],8,FALSE),0)</f>
        <v>0</v>
      </c>
      <c r="AW82" s="25">
        <f>SUM(Table1[[#This Row],[yr 5_wl]:[yr 5_pf]])</f>
        <v>0</v>
      </c>
      <c r="AX82" s="25">
        <f>IF(Table1[[#This Row],[Years_Next_Rehab_Well]]=6,VLOOKUP(Table1[[#This Row],[Item_Rehab_WL]],[1]!Table2[#All],9,FALSE),0)</f>
        <v>0</v>
      </c>
      <c r="AY82" s="25">
        <f>IF(Table1[[#This Row],[Adjusted_ULife_HP]]=6,VLOOKUP(Table1[[#This Row],[Item_Handpump]],[1]!Table2[#All],9,FALSE),0)</f>
        <v>0</v>
      </c>
      <c r="AZ82" s="25">
        <f>IF(Table1[[#This Row],[Adjusted_ULife_PF]]=6,VLOOKUP(Table1[[#This Row],[Item_Platform]],[1]!Table2[#All],9,FALSE),0)</f>
        <v>0</v>
      </c>
      <c r="BA82" s="25">
        <f>SUM(Table1[[#This Row],[yr 6_wl]:[yr 6_pf]])</f>
        <v>0</v>
      </c>
      <c r="BB82" s="25">
        <f>IF(Table1[[#This Row],[Years_Next_Rehab_Well]]=7,VLOOKUP(Table1[[#This Row],[Item_Rehab_WL]],[1]!Table2[#All],10,FALSE),0)</f>
        <v>0</v>
      </c>
      <c r="BC82" s="25">
        <f>IF(Table1[[#This Row],[Adjusted_ULife_HP]]=7,VLOOKUP(Table1[[#This Row],[Item_Handpump]],[1]!Table2[#All],10,FALSE),0)</f>
        <v>0</v>
      </c>
      <c r="BD82" s="25">
        <f>IF(Table1[[#This Row],[Adjusted_ULife_PF]]=7,VLOOKUP(Table1[[#This Row],[Item_Platform]],[1]!Table2[#All],10,FALSE),0)</f>
        <v>0</v>
      </c>
      <c r="BE82" s="25">
        <f>SUM(Table1[[#This Row],[yr 7_wl]:[yr 7_pf]])</f>
        <v>0</v>
      </c>
      <c r="BF82" s="25">
        <f>IF(Table1[[#This Row],[Years_Next_Rehab_Well]]=8,VLOOKUP(Table1[[#This Row],[Item_Rehab_WL]],[1]!Table2[#All],11,FALSE),0)</f>
        <v>0</v>
      </c>
      <c r="BG82" s="25">
        <f>IF(Table1[[#This Row],[Adjusted_ULife_HP]]=8,VLOOKUP(Table1[[#This Row],[Item_Handpump]],[1]!Table2[#All],11,FALSE),0)</f>
        <v>0</v>
      </c>
      <c r="BH82" s="25">
        <f>IF(Table1[[#This Row],[Adjusted_ULife_PF]]=8,VLOOKUP(Table1[[#This Row],[Item_Platform]],[1]!Table2[#All],11,FALSE),0)</f>
        <v>0</v>
      </c>
      <c r="BI82" s="25">
        <f>SUM(Table1[[#This Row],[yr 8_wl]:[yr 8_pf]])</f>
        <v>0</v>
      </c>
      <c r="BJ82" s="25">
        <f>IF(Table1[[#This Row],[Years_Next_Rehab_Well]]=9,VLOOKUP(Table1[[#This Row],[Item_Rehab_WL]],[1]!Table2[#All],12,FALSE),0)</f>
        <v>0</v>
      </c>
      <c r="BK82" s="25">
        <f>IF(Table1[[#This Row],[Adjusted_ULife_HP]]=9,VLOOKUP(Table1[[#This Row],[Item_Handpump]],[1]!Table2[#All],12,FALSE),0)</f>
        <v>0</v>
      </c>
      <c r="BL82" s="25">
        <f>IF(Table1[[#This Row],[Adjusted_ULife_PF]]=9,VLOOKUP(Table1[[#This Row],[Item_Platform]],[1]!Table2[#All],12,FALSE),0)</f>
        <v>0</v>
      </c>
      <c r="BM82" s="25">
        <f>SUM(Table1[[#This Row],[yr 9_wl]:[yr 9_pf]])</f>
        <v>0</v>
      </c>
      <c r="BN82" s="25">
        <f>IF(Table1[[#This Row],[Years_Next_Rehab_Well]]=10,VLOOKUP(Table1[[#This Row],[Item_Rehab_WL]],[1]!Table2[#All],13,FALSE),0)</f>
        <v>0</v>
      </c>
      <c r="BO82" s="25">
        <f>IF(Table1[[#This Row],[Adjusted_ULife_HP]]=10,VLOOKUP(Table1[[#This Row],[Item_Handpump]],[1]!Table2[#All],13,FALSE),0)</f>
        <v>0</v>
      </c>
      <c r="BP82" s="25">
        <f>IF(Table1[[#This Row],[Adjusted_ULife_PF]]=10,VLOOKUP(Table1[[#This Row],[Item_Platform]],[1]!Table2[#All],13,FALSE),0)</f>
        <v>0</v>
      </c>
      <c r="BQ82" s="25">
        <f>SUM(Table1[[#This Row],[yr 10_wl]:[yr 10_pf]])</f>
        <v>0</v>
      </c>
      <c r="BR82" s="25">
        <f>IF(Table1[[#This Row],[Years_Next_Rehab_Well]]=11,VLOOKUP(Table1[[#This Row],[Item_Rehab_WL]],[1]!Table2[#All],14,FALSE),0)</f>
        <v>0</v>
      </c>
      <c r="BS82" s="25">
        <f>IF(Table1[[#This Row],[Adjusted_ULife_HP]]=11,VLOOKUP(Table1[[#This Row],[Item_Handpump]],[1]!Table2[#All],14,FALSE),0)</f>
        <v>0</v>
      </c>
      <c r="BT82" s="25">
        <f>IF(Table1[[#This Row],[Adjusted_ULife_PF]]=11,VLOOKUP(Table1[[#This Row],[Item_Platform]],[1]!Table2[#All],14,FALSE),0)</f>
        <v>0</v>
      </c>
      <c r="BU82" s="25">
        <f>SUM(Table1[[#This Row],[yr 11_wl]:[yr 11_pf]])</f>
        <v>0</v>
      </c>
      <c r="BV82" s="25">
        <f>IF(Table1[[#This Row],[Years_Next_Rehab_Well]]=12,VLOOKUP(Table1[[#This Row],[Item_Rehab_WL]],[1]!Table2[#All],15,FALSE),0)</f>
        <v>0</v>
      </c>
      <c r="BW82" s="25">
        <f>IF(Table1[[#This Row],[Adjusted_ULife_HP]]=12,VLOOKUP(Table1[[#This Row],[Item_Handpump]],[1]!Table2[#All],15,FALSE),0)</f>
        <v>0</v>
      </c>
      <c r="BX82" s="25">
        <f>IF(Table1[[#This Row],[Adjusted_ULife_PF]]=12,VLOOKUP(Table1[[#This Row],[Item_Platform]],[1]!Table2[#All],15,FALSE),0)</f>
        <v>0</v>
      </c>
      <c r="BY82" s="25">
        <f>SUM(Table1[[#This Row],[yr 12_wl]:[yr 12_pf]])</f>
        <v>0</v>
      </c>
      <c r="BZ82" s="25">
        <f>IF(Table1[[#This Row],[Years_Next_Rehab_Well]]=13,VLOOKUP(Table1[[#This Row],[Item_Rehab_WL]],[1]!Table2[#All],16,FALSE),0)</f>
        <v>0</v>
      </c>
      <c r="CA82" s="25">
        <f>IF(Table1[[#This Row],[Adjusted_ULife_HP]]=13,VLOOKUP(Table1[[#This Row],[Item_Handpump]],[1]!Table2[#All],16,FALSE),0)</f>
        <v>0</v>
      </c>
      <c r="CB82" s="25">
        <f>IF(Table1[[#This Row],[Adjusted_ULife_PF]]=13,VLOOKUP(Table1[[#This Row],[Item_Platform]],[1]!Table2[#All],16,FALSE),0)</f>
        <v>0</v>
      </c>
      <c r="CC82" s="25">
        <f>SUM(Table1[[#This Row],[yr 13_wl]:[yr 13_pf]])</f>
        <v>0</v>
      </c>
      <c r="CD82" s="12"/>
    </row>
    <row r="83" spans="1:82" s="11" customFormat="1" x14ac:dyDescent="0.25">
      <c r="A83" s="11" t="str">
        <f>IF([1]Input_monitoring_data!A79="","",[1]Input_monitoring_data!A79)</f>
        <v>dwq9-9wp2-6ek0</v>
      </c>
      <c r="B83" s="22" t="str">
        <f>[1]Input_monitoring_data!BH79</f>
        <v>Gambia</v>
      </c>
      <c r="C83" s="22" t="str">
        <f>[1]Input_monitoring_data!BI79</f>
        <v>Kwame Mensahkrom</v>
      </c>
      <c r="D83" s="22" t="str">
        <f>[1]Input_monitoring_data!P79</f>
        <v>7.105829997121836</v>
      </c>
      <c r="E83" s="22" t="str">
        <f>[1]Input_monitoring_data!Q79</f>
        <v>-2.619614732651227</v>
      </c>
      <c r="F83" s="22" t="str">
        <f>[1]Input_monitoring_data!V79</f>
        <v>Progamm's Coaco Farm</v>
      </c>
      <c r="G83" s="23" t="str">
        <f>[1]Input_monitoring_data!U79</f>
        <v>Borehole</v>
      </c>
      <c r="H83" s="22">
        <f>[1]Input_monitoring_data!X79</f>
        <v>2002</v>
      </c>
      <c r="I83" s="21" t="str">
        <f>[1]Input_monitoring_data!AB79</f>
        <v>Borehole redevelopment</v>
      </c>
      <c r="J83" s="21">
        <f>[1]Input_monitoring_data!AC79</f>
        <v>0</v>
      </c>
      <c r="K83" s="23" t="str">
        <f>[1]Input_monitoring_data!W79</f>
        <v>AfriDev</v>
      </c>
      <c r="L83" s="22">
        <f>[1]Input_monitoring_data!X79</f>
        <v>2002</v>
      </c>
      <c r="M83" s="21">
        <f>IF([1]Input_monitoring_data!BL79&gt;'Point Sources_Asset_Register_'!L83,[1]Input_monitoring_data!BL79,"")</f>
        <v>2013</v>
      </c>
      <c r="N83" s="22" t="str">
        <f>[1]Input_monitoring_data!BQ79</f>
        <v>functional</v>
      </c>
      <c r="O83" s="22">
        <f>[1]Input_monitoring_data!AJ79</f>
        <v>0</v>
      </c>
      <c r="P83" s="23" t="s">
        <v>0</v>
      </c>
      <c r="Q83" s="22">
        <f>L83</f>
        <v>2002</v>
      </c>
      <c r="R83" s="21">
        <f>M83</f>
        <v>2013</v>
      </c>
      <c r="S83" s="20">
        <f>[1]Input_EUL_CRC_ERC!$B$17-Table1[[#This Row],[Year Installed_WL]]</f>
        <v>15</v>
      </c>
      <c r="T83" s="20">
        <f>[1]Input_EUL_CRC_ERC!$B$17-(IF(Table1[[#This Row],[Year Last_Rehab_WL ]]=0,Table1[[#This Row],[Year Installed_WL]],[1]Input_EUL_CRC_ERC!$B$17-Table1[[#This Row],[Year Last_Rehab_WL ]]))</f>
        <v>15</v>
      </c>
      <c r="U83" s="20">
        <f>(VLOOKUP(Table1[[#This Row],[Item_Rehab_WL]],[1]Input_EUL_CRC_ERC!$C$17:$E$27,2,FALSE)-Table1[[#This Row],[Last Rehab Age]])</f>
        <v>0</v>
      </c>
      <c r="V83" s="19">
        <f>[1]Input_EUL_CRC_ERC!$B$17-Table1[[#This Row],[Year Installed_HP]]</f>
        <v>15</v>
      </c>
      <c r="W83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83" s="19">
        <f>[1]Input_EUL_CRC_ERC!$B$17-Table1[[#This Row],[Year Installed_PF]]</f>
        <v>15</v>
      </c>
      <c r="Y83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83" s="25">
        <f>IF(Table1[[#This Row],[Years_Next_Rehab_Well]]&lt;=0,VLOOKUP(Table1[[#This Row],[Item_Rehab_WL]],[1]!Table2[#All],3,FALSE),0)</f>
        <v>3666.6666666666665</v>
      </c>
      <c r="AA83" s="18">
        <f>IF(Table1[[#This Row],[Adjusted_ULife_HP]]&lt;=0,VLOOKUP(Table1[[#This Row],[Item_Handpump]],[1]!Table2[#All],3,FALSE),0)</f>
        <v>0</v>
      </c>
      <c r="AB83" s="18">
        <f>IF(Table1[[#This Row],[Adjusted_ULife_PF]]&lt;=0,VLOOKUP(Table1[[#This Row],[Item_Platform]],[1]!Table2[#All],3,FALSE),0)</f>
        <v>0</v>
      </c>
      <c r="AC83" s="18">
        <f>SUM(Table1[[#This Row],[current yr_wl]:[current yr_pf]])</f>
        <v>3666.6666666666665</v>
      </c>
      <c r="AD83" s="25">
        <f>IF(Table1[[#This Row],[Years_Next_Rehab_Well]]=1,VLOOKUP(Table1[[#This Row],[Item_Rehab_WL]],[1]!Table2[#All],4,FALSE),0)</f>
        <v>0</v>
      </c>
      <c r="AE83" s="25">
        <f>IF(Table1[[#This Row],[Adjusted_ULife_HP]]=1,VLOOKUP(Table1[[#This Row],[Item_Handpump]],[1]!Table2[#All],4,FALSE),0)</f>
        <v>0</v>
      </c>
      <c r="AF83" s="25">
        <f>IF(Table1[[#This Row],[Adjusted_ULife_PF]]=1,VLOOKUP(Table1[[#This Row],[Item_Platform]],[1]!Table2[#All],4,FALSE),0)</f>
        <v>0</v>
      </c>
      <c r="AG83" s="25">
        <f>SUM(Table1[[#This Row],[yr 1_wl]:[yr 1_pf]])</f>
        <v>0</v>
      </c>
      <c r="AH83" s="25">
        <f>IF(Table1[[#This Row],[Years_Next_Rehab_Well]]=2,VLOOKUP(Table1[[#This Row],[Item_Rehab_WL]],[1]!Table2[#All],5,FALSE),0)</f>
        <v>0</v>
      </c>
      <c r="AI83" s="25">
        <f>IF(Table1[[#This Row],[Adjusted_ULife_HP]]=2,VLOOKUP(Table1[[#This Row],[Item_Handpump]],[1]!Table2[#All],5,FALSE),0)</f>
        <v>0</v>
      </c>
      <c r="AJ83" s="25">
        <f>IF(Table1[[#This Row],[Adjusted_ULife_PF]]=2,VLOOKUP(Table1[[#This Row],[Item_Platform]],[1]!Table2[#All],5,FALSE),0)</f>
        <v>0</v>
      </c>
      <c r="AK83" s="25">
        <f>SUM(Table1[[#This Row],[yr 2_wl]:[yr 2_pf]])</f>
        <v>0</v>
      </c>
      <c r="AL83" s="25">
        <f>IF(Table1[[#This Row],[Years_Next_Rehab_Well]]=3,VLOOKUP(Table1[[#This Row],[Item_Rehab_WL]],[1]!Table2[#All],6,FALSE),0)</f>
        <v>0</v>
      </c>
      <c r="AM83" s="25">
        <f>IF(Table1[[#This Row],[Adjusted_ULife_HP]]=3,VLOOKUP(Table1[[#This Row],[Item_Handpump]],[1]!Table2[#All],6,FALSE),0)</f>
        <v>0</v>
      </c>
      <c r="AN83" s="25">
        <f>IF(Table1[[#This Row],[Adjusted_ULife_PF]]=3,VLOOKUP(Table1[[#This Row],[Item_Platform]],[1]!Table2[#All],6,FALSE),0)</f>
        <v>0</v>
      </c>
      <c r="AO83" s="25">
        <f>SUM(Table1[[#This Row],[yr 3_wl]:[yr 3_pf]])</f>
        <v>0</v>
      </c>
      <c r="AP83" s="25">
        <f>IF(Table1[[#This Row],[Years_Next_Rehab_Well]]=4,VLOOKUP(Table1[[#This Row],[Item_Rehab_WL]],[1]!Table2[#All],7,FALSE),0)</f>
        <v>0</v>
      </c>
      <c r="AQ83" s="25">
        <f>IF(Table1[[#This Row],[Adjusted_ULife_HP]]=4,VLOOKUP(Table1[[#This Row],[Item_Handpump]],[1]!Table2[#All],7,FALSE),0)</f>
        <v>0</v>
      </c>
      <c r="AR83" s="25">
        <f>IF(Table1[[#This Row],[Adjusted_ULife_PF]]=4,VLOOKUP(Table1[[#This Row],[Item_Platform]],[1]!Table2[#All],7,FALSE),0)</f>
        <v>0</v>
      </c>
      <c r="AS83" s="25">
        <f>SUM(Table1[[#This Row],[yr 4_wl]:[yr 4_pf]])</f>
        <v>0</v>
      </c>
      <c r="AT83" s="25">
        <f>IF(Table1[[#This Row],[Years_Next_Rehab_Well]]=5,VLOOKUP(Table1[[#This Row],[Item_Rehab_WL]],[1]!Table2[#All],8,FALSE),0)</f>
        <v>0</v>
      </c>
      <c r="AU83" s="25">
        <f>IF(Table1[[#This Row],[Adjusted_ULife_HP]]=5,VLOOKUP(Table1[[#This Row],[Item_Handpump]],[1]!Table2[#All],8,FALSE),0)</f>
        <v>0</v>
      </c>
      <c r="AV83" s="25">
        <f>IF(Table1[[#This Row],[Adjusted_ULife_PF]]=5,VLOOKUP(Table1[[#This Row],[Item_Platform]],[1]!Table2[#All],8,FALSE),0)</f>
        <v>0</v>
      </c>
      <c r="AW83" s="25">
        <f>SUM(Table1[[#This Row],[yr 5_wl]:[yr 5_pf]])</f>
        <v>0</v>
      </c>
      <c r="AX83" s="25">
        <f>IF(Table1[[#This Row],[Years_Next_Rehab_Well]]=6,VLOOKUP(Table1[[#This Row],[Item_Rehab_WL]],[1]!Table2[#All],9,FALSE),0)</f>
        <v>0</v>
      </c>
      <c r="AY83" s="25">
        <f>IF(Table1[[#This Row],[Adjusted_ULife_HP]]=6,VLOOKUP(Table1[[#This Row],[Item_Handpump]],[1]!Table2[#All],9,FALSE),0)</f>
        <v>0</v>
      </c>
      <c r="AZ83" s="25">
        <f>IF(Table1[[#This Row],[Adjusted_ULife_PF]]=6,VLOOKUP(Table1[[#This Row],[Item_Platform]],[1]!Table2[#All],9,FALSE),0)</f>
        <v>2960.7340277760022</v>
      </c>
      <c r="BA83" s="25">
        <f>SUM(Table1[[#This Row],[yr 6_wl]:[yr 6_pf]])</f>
        <v>2960.7340277760022</v>
      </c>
      <c r="BB83" s="25">
        <f>IF(Table1[[#This Row],[Years_Next_Rehab_Well]]=7,VLOOKUP(Table1[[#This Row],[Item_Rehab_WL]],[1]!Table2[#All],10,FALSE),0)</f>
        <v>0</v>
      </c>
      <c r="BC83" s="25">
        <f>IF(Table1[[#This Row],[Adjusted_ULife_HP]]=7,VLOOKUP(Table1[[#This Row],[Item_Handpump]],[1]!Table2[#All],10,FALSE),0)</f>
        <v>0</v>
      </c>
      <c r="BD83" s="25">
        <f>IF(Table1[[#This Row],[Adjusted_ULife_PF]]=7,VLOOKUP(Table1[[#This Row],[Item_Platform]],[1]!Table2[#All],10,FALSE),0)</f>
        <v>0</v>
      </c>
      <c r="BE83" s="25">
        <f>SUM(Table1[[#This Row],[yr 7_wl]:[yr 7_pf]])</f>
        <v>0</v>
      </c>
      <c r="BF83" s="25">
        <f>IF(Table1[[#This Row],[Years_Next_Rehab_Well]]=8,VLOOKUP(Table1[[#This Row],[Item_Rehab_WL]],[1]!Table2[#All],11,FALSE),0)</f>
        <v>0</v>
      </c>
      <c r="BG83" s="25">
        <f>IF(Table1[[#This Row],[Adjusted_ULife_HP]]=8,VLOOKUP(Table1[[#This Row],[Item_Handpump]],[1]!Table2[#All],11,FALSE),0)</f>
        <v>0</v>
      </c>
      <c r="BH83" s="25">
        <f>IF(Table1[[#This Row],[Adjusted_ULife_PF]]=8,VLOOKUP(Table1[[#This Row],[Item_Platform]],[1]!Table2[#All],11,FALSE),0)</f>
        <v>0</v>
      </c>
      <c r="BI83" s="25">
        <f>SUM(Table1[[#This Row],[yr 8_wl]:[yr 8_pf]])</f>
        <v>0</v>
      </c>
      <c r="BJ83" s="25">
        <f>IF(Table1[[#This Row],[Years_Next_Rehab_Well]]=9,VLOOKUP(Table1[[#This Row],[Item_Rehab_WL]],[1]!Table2[#All],12,FALSE),0)</f>
        <v>0</v>
      </c>
      <c r="BK83" s="25">
        <f>IF(Table1[[#This Row],[Adjusted_ULife_HP]]=9,VLOOKUP(Table1[[#This Row],[Item_Handpump]],[1]!Table2[#All],12,FALSE),0)</f>
        <v>0</v>
      </c>
      <c r="BL83" s="25">
        <f>IF(Table1[[#This Row],[Adjusted_ULife_PF]]=9,VLOOKUP(Table1[[#This Row],[Item_Platform]],[1]!Table2[#All],12,FALSE),0)</f>
        <v>0</v>
      </c>
      <c r="BM83" s="25">
        <f>SUM(Table1[[#This Row],[yr 9_wl]:[yr 9_pf]])</f>
        <v>0</v>
      </c>
      <c r="BN83" s="25">
        <f>IF(Table1[[#This Row],[Years_Next_Rehab_Well]]=10,VLOOKUP(Table1[[#This Row],[Item_Rehab_WL]],[1]!Table2[#All],13,FALSE),0)</f>
        <v>0</v>
      </c>
      <c r="BO83" s="25">
        <f>IF(Table1[[#This Row],[Adjusted_ULife_HP]]=10,VLOOKUP(Table1[[#This Row],[Item_Handpump]],[1]!Table2[#All],13,FALSE),0)</f>
        <v>0</v>
      </c>
      <c r="BP83" s="25">
        <f>IF(Table1[[#This Row],[Adjusted_ULife_PF]]=10,VLOOKUP(Table1[[#This Row],[Item_Platform]],[1]!Table2[#All],13,FALSE),0)</f>
        <v>0</v>
      </c>
      <c r="BQ83" s="25">
        <f>SUM(Table1[[#This Row],[yr 10_wl]:[yr 10_pf]])</f>
        <v>0</v>
      </c>
      <c r="BR83" s="25">
        <f>IF(Table1[[#This Row],[Years_Next_Rehab_Well]]=11,VLOOKUP(Table1[[#This Row],[Item_Rehab_WL]],[1]!Table2[#All],14,FALSE),0)</f>
        <v>0</v>
      </c>
      <c r="BS83" s="25">
        <f>IF(Table1[[#This Row],[Adjusted_ULife_HP]]=11,VLOOKUP(Table1[[#This Row],[Item_Handpump]],[1]!Table2[#All],14,FALSE),0)</f>
        <v>0</v>
      </c>
      <c r="BT83" s="25">
        <f>IF(Table1[[#This Row],[Adjusted_ULife_PF]]=11,VLOOKUP(Table1[[#This Row],[Item_Platform]],[1]!Table2[#All],14,FALSE),0)</f>
        <v>0</v>
      </c>
      <c r="BU83" s="25">
        <f>SUM(Table1[[#This Row],[yr 11_wl]:[yr 11_pf]])</f>
        <v>0</v>
      </c>
      <c r="BV83" s="25">
        <f>IF(Table1[[#This Row],[Years_Next_Rehab_Well]]=12,VLOOKUP(Table1[[#This Row],[Item_Rehab_WL]],[1]!Table2[#All],15,FALSE),0)</f>
        <v>0</v>
      </c>
      <c r="BW83" s="25">
        <f>IF(Table1[[#This Row],[Adjusted_ULife_HP]]=12,VLOOKUP(Table1[[#This Row],[Item_Handpump]],[1]!Table2[#All],15,FALSE),0)</f>
        <v>0</v>
      </c>
      <c r="BX83" s="25">
        <f>IF(Table1[[#This Row],[Adjusted_ULife_PF]]=12,VLOOKUP(Table1[[#This Row],[Item_Platform]],[1]!Table2[#All],15,FALSE),0)</f>
        <v>0</v>
      </c>
      <c r="BY83" s="25">
        <f>SUM(Table1[[#This Row],[yr 12_wl]:[yr 12_pf]])</f>
        <v>0</v>
      </c>
      <c r="BZ83" s="25">
        <f>IF(Table1[[#This Row],[Years_Next_Rehab_Well]]=13,VLOOKUP(Table1[[#This Row],[Item_Rehab_WL]],[1]!Table2[#All],16,FALSE),0)</f>
        <v>0</v>
      </c>
      <c r="CA83" s="25">
        <f>IF(Table1[[#This Row],[Adjusted_ULife_HP]]=13,VLOOKUP(Table1[[#This Row],[Item_Handpump]],[1]!Table2[#All],16,FALSE),0)</f>
        <v>0</v>
      </c>
      <c r="CB83" s="25">
        <f>IF(Table1[[#This Row],[Adjusted_ULife_PF]]=13,VLOOKUP(Table1[[#This Row],[Item_Platform]],[1]!Table2[#All],16,FALSE),0)</f>
        <v>0</v>
      </c>
      <c r="CC83" s="25">
        <f>SUM(Table1[[#This Row],[yr 13_wl]:[yr 13_pf]])</f>
        <v>0</v>
      </c>
      <c r="CD83" s="12"/>
    </row>
    <row r="84" spans="1:82" s="11" customFormat="1" x14ac:dyDescent="0.25">
      <c r="A84" s="11" t="str">
        <f>IF([1]Input_monitoring_data!A80="","",[1]Input_monitoring_data!A80)</f>
        <v>e5yu-4ngr-26ss</v>
      </c>
      <c r="B84" s="22" t="str">
        <f>[1]Input_monitoring_data!BH80</f>
        <v>GAMBIA</v>
      </c>
      <c r="C84" s="22" t="str">
        <f>[1]Input_monitoring_data!BI80</f>
        <v>GAMBIA NO.2</v>
      </c>
      <c r="D84" s="22" t="str">
        <f>[1]Input_monitoring_data!P80</f>
        <v>7.05506099</v>
      </c>
      <c r="E84" s="22" t="str">
        <f>[1]Input_monitoring_data!Q80</f>
        <v>-2.6533708</v>
      </c>
      <c r="F84" s="22" t="str">
        <f>[1]Input_monitoring_data!V80</f>
        <v>on the site of Akwasi Boakye</v>
      </c>
      <c r="G84" s="23" t="str">
        <f>[1]Input_monitoring_data!U80</f>
        <v>Borehole</v>
      </c>
      <c r="H84" s="22">
        <f>[1]Input_monitoring_data!X80</f>
        <v>2017</v>
      </c>
      <c r="I84" s="21" t="str">
        <f>[1]Input_monitoring_data!AB80</f>
        <v>Borehole redevelopment</v>
      </c>
      <c r="J84" s="21">
        <f>[1]Input_monitoring_data!AC80</f>
        <v>0</v>
      </c>
      <c r="K84" s="23" t="str">
        <f>[1]Input_monitoring_data!W80</f>
        <v>AfriDev</v>
      </c>
      <c r="L84" s="22">
        <f>[1]Input_monitoring_data!X80</f>
        <v>2017</v>
      </c>
      <c r="M84" s="21" t="str">
        <f>IF([1]Input_monitoring_data!BL80&gt;'Point Sources_Asset_Register_'!L84,[1]Input_monitoring_data!BL80,"")</f>
        <v/>
      </c>
      <c r="N84" s="22" t="str">
        <f>[1]Input_monitoring_data!BQ80</f>
        <v>functional</v>
      </c>
      <c r="O84" s="22">
        <f>[1]Input_monitoring_data!AJ80</f>
        <v>0</v>
      </c>
      <c r="P84" s="23" t="s">
        <v>0</v>
      </c>
      <c r="Q84" s="22">
        <f>L84</f>
        <v>2017</v>
      </c>
      <c r="R84" s="21" t="str">
        <f>M84</f>
        <v/>
      </c>
      <c r="S84" s="20">
        <f>[1]Input_EUL_CRC_ERC!$B$17-Table1[[#This Row],[Year Installed_WL]]</f>
        <v>0</v>
      </c>
      <c r="T84" s="20">
        <f>[1]Input_EUL_CRC_ERC!$B$17-(IF(Table1[[#This Row],[Year Last_Rehab_WL ]]=0,Table1[[#This Row],[Year Installed_WL]],[1]Input_EUL_CRC_ERC!$B$17-Table1[[#This Row],[Year Last_Rehab_WL ]]))</f>
        <v>0</v>
      </c>
      <c r="U84" s="20">
        <f>(VLOOKUP(Table1[[#This Row],[Item_Rehab_WL]],[1]Input_EUL_CRC_ERC!$C$17:$E$27,2,FALSE)-Table1[[#This Row],[Last Rehab Age]])</f>
        <v>15</v>
      </c>
      <c r="V84" s="19">
        <f>[1]Input_EUL_CRC_ERC!$B$17-Table1[[#This Row],[Year Installed_HP]]</f>
        <v>0</v>
      </c>
      <c r="W84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84" s="19">
        <f>[1]Input_EUL_CRC_ERC!$B$17-Table1[[#This Row],[Year Installed_PF]]</f>
        <v>0</v>
      </c>
      <c r="Y84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84" s="25">
        <f>IF(Table1[[#This Row],[Years_Next_Rehab_Well]]&lt;=0,VLOOKUP(Table1[[#This Row],[Item_Rehab_WL]],[1]!Table2[#All],3,FALSE),0)</f>
        <v>0</v>
      </c>
      <c r="AA84" s="18">
        <f>IF(Table1[[#This Row],[Adjusted_ULife_HP]]&lt;=0,VLOOKUP(Table1[[#This Row],[Item_Handpump]],[1]!Table2[#All],3,FALSE),0)</f>
        <v>0</v>
      </c>
      <c r="AB84" s="18">
        <f>IF(Table1[[#This Row],[Adjusted_ULife_PF]]&lt;=0,VLOOKUP(Table1[[#This Row],[Item_Platform]],[1]!Table2[#All],3,FALSE),0)</f>
        <v>0</v>
      </c>
      <c r="AC84" s="18">
        <f>SUM(Table1[[#This Row],[current yr_wl]:[current yr_pf]])</f>
        <v>0</v>
      </c>
      <c r="AD84" s="25">
        <f>IF(Table1[[#This Row],[Years_Next_Rehab_Well]]=1,VLOOKUP(Table1[[#This Row],[Item_Rehab_WL]],[1]!Table2[#All],4,FALSE),0)</f>
        <v>0</v>
      </c>
      <c r="AE84" s="25">
        <f>IF(Table1[[#This Row],[Adjusted_ULife_HP]]=1,VLOOKUP(Table1[[#This Row],[Item_Handpump]],[1]!Table2[#All],4,FALSE),0)</f>
        <v>0</v>
      </c>
      <c r="AF84" s="25">
        <f>IF(Table1[[#This Row],[Adjusted_ULife_PF]]=1,VLOOKUP(Table1[[#This Row],[Item_Platform]],[1]!Table2[#All],4,FALSE),0)</f>
        <v>0</v>
      </c>
      <c r="AG84" s="25">
        <f>SUM(Table1[[#This Row],[yr 1_wl]:[yr 1_pf]])</f>
        <v>0</v>
      </c>
      <c r="AH84" s="25">
        <f>IF(Table1[[#This Row],[Years_Next_Rehab_Well]]=2,VLOOKUP(Table1[[#This Row],[Item_Rehab_WL]],[1]!Table2[#All],5,FALSE),0)</f>
        <v>0</v>
      </c>
      <c r="AI84" s="25">
        <f>IF(Table1[[#This Row],[Adjusted_ULife_HP]]=2,VLOOKUP(Table1[[#This Row],[Item_Handpump]],[1]!Table2[#All],5,FALSE),0)</f>
        <v>0</v>
      </c>
      <c r="AJ84" s="25">
        <f>IF(Table1[[#This Row],[Adjusted_ULife_PF]]=2,VLOOKUP(Table1[[#This Row],[Item_Platform]],[1]!Table2[#All],5,FALSE),0)</f>
        <v>0</v>
      </c>
      <c r="AK84" s="25">
        <f>SUM(Table1[[#This Row],[yr 2_wl]:[yr 2_pf]])</f>
        <v>0</v>
      </c>
      <c r="AL84" s="25">
        <f>IF(Table1[[#This Row],[Years_Next_Rehab_Well]]=3,VLOOKUP(Table1[[#This Row],[Item_Rehab_WL]],[1]!Table2[#All],6,FALSE),0)</f>
        <v>0</v>
      </c>
      <c r="AM84" s="25">
        <f>IF(Table1[[#This Row],[Adjusted_ULife_HP]]=3,VLOOKUP(Table1[[#This Row],[Item_Handpump]],[1]!Table2[#All],6,FALSE),0)</f>
        <v>0</v>
      </c>
      <c r="AN84" s="25">
        <f>IF(Table1[[#This Row],[Adjusted_ULife_PF]]=3,VLOOKUP(Table1[[#This Row],[Item_Platform]],[1]!Table2[#All],6,FALSE),0)</f>
        <v>0</v>
      </c>
      <c r="AO84" s="25">
        <f>SUM(Table1[[#This Row],[yr 3_wl]:[yr 3_pf]])</f>
        <v>0</v>
      </c>
      <c r="AP84" s="25">
        <f>IF(Table1[[#This Row],[Years_Next_Rehab_Well]]=4,VLOOKUP(Table1[[#This Row],[Item_Rehab_WL]],[1]!Table2[#All],7,FALSE),0)</f>
        <v>0</v>
      </c>
      <c r="AQ84" s="25">
        <f>IF(Table1[[#This Row],[Adjusted_ULife_HP]]=4,VLOOKUP(Table1[[#This Row],[Item_Handpump]],[1]!Table2[#All],7,FALSE),0)</f>
        <v>0</v>
      </c>
      <c r="AR84" s="25">
        <f>IF(Table1[[#This Row],[Adjusted_ULife_PF]]=4,VLOOKUP(Table1[[#This Row],[Item_Platform]],[1]!Table2[#All],7,FALSE),0)</f>
        <v>0</v>
      </c>
      <c r="AS84" s="25">
        <f>SUM(Table1[[#This Row],[yr 4_wl]:[yr 4_pf]])</f>
        <v>0</v>
      </c>
      <c r="AT84" s="25">
        <f>IF(Table1[[#This Row],[Years_Next_Rehab_Well]]=5,VLOOKUP(Table1[[#This Row],[Item_Rehab_WL]],[1]!Table2[#All],8,FALSE),0)</f>
        <v>0</v>
      </c>
      <c r="AU84" s="25">
        <f>IF(Table1[[#This Row],[Adjusted_ULife_HP]]=5,VLOOKUP(Table1[[#This Row],[Item_Handpump]],[1]!Table2[#All],8,FALSE),0)</f>
        <v>0</v>
      </c>
      <c r="AV84" s="25">
        <f>IF(Table1[[#This Row],[Adjusted_ULife_PF]]=5,VLOOKUP(Table1[[#This Row],[Item_Platform]],[1]!Table2[#All],8,FALSE),0)</f>
        <v>0</v>
      </c>
      <c r="AW84" s="25">
        <f>SUM(Table1[[#This Row],[yr 5_wl]:[yr 5_pf]])</f>
        <v>0</v>
      </c>
      <c r="AX84" s="25">
        <f>IF(Table1[[#This Row],[Years_Next_Rehab_Well]]=6,VLOOKUP(Table1[[#This Row],[Item_Rehab_WL]],[1]!Table2[#All],9,FALSE),0)</f>
        <v>0</v>
      </c>
      <c r="AY84" s="25">
        <f>IF(Table1[[#This Row],[Adjusted_ULife_HP]]=6,VLOOKUP(Table1[[#This Row],[Item_Handpump]],[1]!Table2[#All],9,FALSE),0)</f>
        <v>0</v>
      </c>
      <c r="AZ84" s="25">
        <f>IF(Table1[[#This Row],[Adjusted_ULife_PF]]=6,VLOOKUP(Table1[[#This Row],[Item_Platform]],[1]!Table2[#All],9,FALSE),0)</f>
        <v>0</v>
      </c>
      <c r="BA84" s="25">
        <f>SUM(Table1[[#This Row],[yr 6_wl]:[yr 6_pf]])</f>
        <v>0</v>
      </c>
      <c r="BB84" s="25">
        <f>IF(Table1[[#This Row],[Years_Next_Rehab_Well]]=7,VLOOKUP(Table1[[#This Row],[Item_Rehab_WL]],[1]!Table2[#All],10,FALSE),0)</f>
        <v>0</v>
      </c>
      <c r="BC84" s="25">
        <f>IF(Table1[[#This Row],[Adjusted_ULife_HP]]=7,VLOOKUP(Table1[[#This Row],[Item_Handpump]],[1]!Table2[#All],10,FALSE),0)</f>
        <v>0</v>
      </c>
      <c r="BD84" s="25">
        <f>IF(Table1[[#This Row],[Adjusted_ULife_PF]]=7,VLOOKUP(Table1[[#This Row],[Item_Platform]],[1]!Table2[#All],10,FALSE),0)</f>
        <v>0</v>
      </c>
      <c r="BE84" s="25">
        <f>SUM(Table1[[#This Row],[yr 7_wl]:[yr 7_pf]])</f>
        <v>0</v>
      </c>
      <c r="BF84" s="25">
        <f>IF(Table1[[#This Row],[Years_Next_Rehab_Well]]=8,VLOOKUP(Table1[[#This Row],[Item_Rehab_WL]],[1]!Table2[#All],11,FALSE),0)</f>
        <v>0</v>
      </c>
      <c r="BG84" s="25">
        <f>IF(Table1[[#This Row],[Adjusted_ULife_HP]]=8,VLOOKUP(Table1[[#This Row],[Item_Handpump]],[1]!Table2[#All],11,FALSE),0)</f>
        <v>0</v>
      </c>
      <c r="BH84" s="25">
        <f>IF(Table1[[#This Row],[Adjusted_ULife_PF]]=8,VLOOKUP(Table1[[#This Row],[Item_Platform]],[1]!Table2[#All],11,FALSE),0)</f>
        <v>0</v>
      </c>
      <c r="BI84" s="25">
        <f>SUM(Table1[[#This Row],[yr 8_wl]:[yr 8_pf]])</f>
        <v>0</v>
      </c>
      <c r="BJ84" s="25">
        <f>IF(Table1[[#This Row],[Years_Next_Rehab_Well]]=9,VLOOKUP(Table1[[#This Row],[Item_Rehab_WL]],[1]!Table2[#All],12,FALSE),0)</f>
        <v>0</v>
      </c>
      <c r="BK84" s="25">
        <f>IF(Table1[[#This Row],[Adjusted_ULife_HP]]=9,VLOOKUP(Table1[[#This Row],[Item_Handpump]],[1]!Table2[#All],12,FALSE),0)</f>
        <v>0</v>
      </c>
      <c r="BL84" s="25">
        <f>IF(Table1[[#This Row],[Adjusted_ULife_PF]]=9,VLOOKUP(Table1[[#This Row],[Item_Platform]],[1]!Table2[#All],12,FALSE),0)</f>
        <v>0</v>
      </c>
      <c r="BM84" s="25">
        <f>SUM(Table1[[#This Row],[yr 9_wl]:[yr 9_pf]])</f>
        <v>0</v>
      </c>
      <c r="BN84" s="25">
        <f>IF(Table1[[#This Row],[Years_Next_Rehab_Well]]=10,VLOOKUP(Table1[[#This Row],[Item_Rehab_WL]],[1]!Table2[#All],13,FALSE),0)</f>
        <v>0</v>
      </c>
      <c r="BO84" s="25">
        <f>IF(Table1[[#This Row],[Adjusted_ULife_HP]]=10,VLOOKUP(Table1[[#This Row],[Item_Handpump]],[1]!Table2[#All],13,FALSE),0)</f>
        <v>0</v>
      </c>
      <c r="BP84" s="25">
        <f>IF(Table1[[#This Row],[Adjusted_ULife_PF]]=10,VLOOKUP(Table1[[#This Row],[Item_Platform]],[1]!Table2[#All],13,FALSE),0)</f>
        <v>4658.7723125163184</v>
      </c>
      <c r="BQ84" s="25">
        <f>SUM(Table1[[#This Row],[yr 10_wl]:[yr 10_pf]])</f>
        <v>4658.7723125163184</v>
      </c>
      <c r="BR84" s="25">
        <f>IF(Table1[[#This Row],[Years_Next_Rehab_Well]]=11,VLOOKUP(Table1[[#This Row],[Item_Rehab_WL]],[1]!Table2[#All],14,FALSE),0)</f>
        <v>0</v>
      </c>
      <c r="BS84" s="25">
        <f>IF(Table1[[#This Row],[Adjusted_ULife_HP]]=11,VLOOKUP(Table1[[#This Row],[Item_Handpump]],[1]!Table2[#All],14,FALSE),0)</f>
        <v>0</v>
      </c>
      <c r="BT84" s="25">
        <f>IF(Table1[[#This Row],[Adjusted_ULife_PF]]=11,VLOOKUP(Table1[[#This Row],[Item_Platform]],[1]!Table2[#All],14,FALSE),0)</f>
        <v>0</v>
      </c>
      <c r="BU84" s="25">
        <f>SUM(Table1[[#This Row],[yr 11_wl]:[yr 11_pf]])</f>
        <v>0</v>
      </c>
      <c r="BV84" s="25">
        <f>IF(Table1[[#This Row],[Years_Next_Rehab_Well]]=12,VLOOKUP(Table1[[#This Row],[Item_Rehab_WL]],[1]!Table2[#All],15,FALSE),0)</f>
        <v>0</v>
      </c>
      <c r="BW84" s="25">
        <f>IF(Table1[[#This Row],[Adjusted_ULife_HP]]=12,VLOOKUP(Table1[[#This Row],[Item_Handpump]],[1]!Table2[#All],15,FALSE),0)</f>
        <v>0</v>
      </c>
      <c r="BX84" s="25">
        <f>IF(Table1[[#This Row],[Adjusted_ULife_PF]]=12,VLOOKUP(Table1[[#This Row],[Item_Platform]],[1]!Table2[#All],15,FALSE),0)</f>
        <v>0</v>
      </c>
      <c r="BY84" s="25">
        <f>SUM(Table1[[#This Row],[yr 12_wl]:[yr 12_pf]])</f>
        <v>0</v>
      </c>
      <c r="BZ84" s="25">
        <f>IF(Table1[[#This Row],[Years_Next_Rehab_Well]]=13,VLOOKUP(Table1[[#This Row],[Item_Rehab_WL]],[1]!Table2[#All],16,FALSE),0)</f>
        <v>0</v>
      </c>
      <c r="CA84" s="25">
        <f>IF(Table1[[#This Row],[Adjusted_ULife_HP]]=13,VLOOKUP(Table1[[#This Row],[Item_Handpump]],[1]!Table2[#All],16,FALSE),0)</f>
        <v>0</v>
      </c>
      <c r="CB84" s="25">
        <f>IF(Table1[[#This Row],[Adjusted_ULife_PF]]=13,VLOOKUP(Table1[[#This Row],[Item_Platform]],[1]!Table2[#All],16,FALSE),0)</f>
        <v>0</v>
      </c>
      <c r="CC84" s="25">
        <f>SUM(Table1[[#This Row],[yr 13_wl]:[yr 13_pf]])</f>
        <v>0</v>
      </c>
      <c r="CD84" s="12"/>
    </row>
    <row r="85" spans="1:82" s="11" customFormat="1" x14ac:dyDescent="0.25">
      <c r="A85" s="11" t="str">
        <f>IF([1]Input_monitoring_data!A81="","",[1]Input_monitoring_data!A81)</f>
        <v>ec48-49bw-pxhs</v>
      </c>
      <c r="B85" s="22" t="str">
        <f>[1]Input_monitoring_data!BH81</f>
        <v>Gambia</v>
      </c>
      <c r="C85" s="22" t="str">
        <f>[1]Input_monitoring_data!BI81</f>
        <v>Gambia No.2</v>
      </c>
      <c r="D85" s="22" t="str">
        <f>[1]Input_monitoring_data!P81</f>
        <v>7.063573214233176</v>
      </c>
      <c r="E85" s="22" t="str">
        <f>[1]Input_monitoring_data!Q81</f>
        <v>-2.6556292028412867</v>
      </c>
      <c r="F85" s="22" t="str">
        <f>[1]Input_monitoring_data!V81</f>
        <v>Behind Alhaji Issa's House</v>
      </c>
      <c r="G85" s="23" t="str">
        <f>[1]Input_monitoring_data!U81</f>
        <v>Borehole</v>
      </c>
      <c r="H85" s="22">
        <f>[1]Input_monitoring_data!X81</f>
        <v>2004</v>
      </c>
      <c r="I85" s="21" t="str">
        <f>[1]Input_monitoring_data!AB81</f>
        <v>Borehole redevelopment</v>
      </c>
      <c r="J85" s="21">
        <f>[1]Input_monitoring_data!AC81</f>
        <v>0</v>
      </c>
      <c r="K85" s="23" t="str">
        <f>[1]Input_monitoring_data!W81</f>
        <v>AfriDev</v>
      </c>
      <c r="L85" s="22">
        <f>[1]Input_monitoring_data!X81</f>
        <v>2004</v>
      </c>
      <c r="M85" s="21">
        <f>IF([1]Input_monitoring_data!BL81&gt;'Point Sources_Asset_Register_'!L85,[1]Input_monitoring_data!BL81,"")</f>
        <v>2014</v>
      </c>
      <c r="N85" s="22" t="str">
        <f>[1]Input_monitoring_data!BQ81</f>
        <v>functional</v>
      </c>
      <c r="O85" s="22">
        <f>[1]Input_monitoring_data!AJ81</f>
        <v>0</v>
      </c>
      <c r="P85" s="23" t="s">
        <v>0</v>
      </c>
      <c r="Q85" s="22">
        <f>L85</f>
        <v>2004</v>
      </c>
      <c r="R85" s="21">
        <f>M85</f>
        <v>2014</v>
      </c>
      <c r="S85" s="20">
        <f>[1]Input_EUL_CRC_ERC!$B$17-Table1[[#This Row],[Year Installed_WL]]</f>
        <v>13</v>
      </c>
      <c r="T85" s="20">
        <f>[1]Input_EUL_CRC_ERC!$B$17-(IF(Table1[[#This Row],[Year Last_Rehab_WL ]]=0,Table1[[#This Row],[Year Installed_WL]],[1]Input_EUL_CRC_ERC!$B$17-Table1[[#This Row],[Year Last_Rehab_WL ]]))</f>
        <v>13</v>
      </c>
      <c r="U85" s="20">
        <f>(VLOOKUP(Table1[[#This Row],[Item_Rehab_WL]],[1]Input_EUL_CRC_ERC!$C$17:$E$27,2,FALSE)-Table1[[#This Row],[Last Rehab Age]])</f>
        <v>2</v>
      </c>
      <c r="V85" s="19">
        <f>[1]Input_EUL_CRC_ERC!$B$17-Table1[[#This Row],[Year Installed_HP]]</f>
        <v>13</v>
      </c>
      <c r="W85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85" s="19">
        <f>[1]Input_EUL_CRC_ERC!$B$17-Table1[[#This Row],[Year Installed_PF]]</f>
        <v>13</v>
      </c>
      <c r="Y85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85" s="25">
        <f>IF(Table1[[#This Row],[Years_Next_Rehab_Well]]&lt;=0,VLOOKUP(Table1[[#This Row],[Item_Rehab_WL]],[1]!Table2[#All],3,FALSE),0)</f>
        <v>0</v>
      </c>
      <c r="AA85" s="18">
        <f>IF(Table1[[#This Row],[Adjusted_ULife_HP]]&lt;=0,VLOOKUP(Table1[[#This Row],[Item_Handpump]],[1]!Table2[#All],3,FALSE),0)</f>
        <v>0</v>
      </c>
      <c r="AB85" s="18">
        <f>IF(Table1[[#This Row],[Adjusted_ULife_PF]]&lt;=0,VLOOKUP(Table1[[#This Row],[Item_Platform]],[1]!Table2[#All],3,FALSE),0)</f>
        <v>0</v>
      </c>
      <c r="AC85" s="18">
        <f>SUM(Table1[[#This Row],[current yr_wl]:[current yr_pf]])</f>
        <v>0</v>
      </c>
      <c r="AD85" s="25">
        <f>IF(Table1[[#This Row],[Years_Next_Rehab_Well]]=1,VLOOKUP(Table1[[#This Row],[Item_Rehab_WL]],[1]!Table2[#All],4,FALSE),0)</f>
        <v>0</v>
      </c>
      <c r="AE85" s="25">
        <f>IF(Table1[[#This Row],[Adjusted_ULife_HP]]=1,VLOOKUP(Table1[[#This Row],[Item_Handpump]],[1]!Table2[#All],4,FALSE),0)</f>
        <v>0</v>
      </c>
      <c r="AF85" s="25">
        <f>IF(Table1[[#This Row],[Adjusted_ULife_PF]]=1,VLOOKUP(Table1[[#This Row],[Item_Platform]],[1]!Table2[#All],4,FALSE),0)</f>
        <v>0</v>
      </c>
      <c r="AG85" s="25">
        <f>SUM(Table1[[#This Row],[yr 1_wl]:[yr 1_pf]])</f>
        <v>0</v>
      </c>
      <c r="AH85" s="25">
        <f>IF(Table1[[#This Row],[Years_Next_Rehab_Well]]=2,VLOOKUP(Table1[[#This Row],[Item_Rehab_WL]],[1]!Table2[#All],5,FALSE),0)</f>
        <v>4599.4666666666672</v>
      </c>
      <c r="AI85" s="25">
        <f>IF(Table1[[#This Row],[Adjusted_ULife_HP]]=2,VLOOKUP(Table1[[#This Row],[Item_Handpump]],[1]!Table2[#All],5,FALSE),0)</f>
        <v>0</v>
      </c>
      <c r="AJ85" s="25">
        <f>IF(Table1[[#This Row],[Adjusted_ULife_PF]]=2,VLOOKUP(Table1[[#This Row],[Item_Platform]],[1]!Table2[#All],5,FALSE),0)</f>
        <v>0</v>
      </c>
      <c r="AK85" s="25">
        <f>SUM(Table1[[#This Row],[yr 2_wl]:[yr 2_pf]])</f>
        <v>4599.4666666666672</v>
      </c>
      <c r="AL85" s="25">
        <f>IF(Table1[[#This Row],[Years_Next_Rehab_Well]]=3,VLOOKUP(Table1[[#This Row],[Item_Rehab_WL]],[1]!Table2[#All],6,FALSE),0)</f>
        <v>0</v>
      </c>
      <c r="AM85" s="25">
        <f>IF(Table1[[#This Row],[Adjusted_ULife_HP]]=3,VLOOKUP(Table1[[#This Row],[Item_Handpump]],[1]!Table2[#All],6,FALSE),0)</f>
        <v>0</v>
      </c>
      <c r="AN85" s="25">
        <f>IF(Table1[[#This Row],[Adjusted_ULife_PF]]=3,VLOOKUP(Table1[[#This Row],[Item_Platform]],[1]!Table2[#All],6,FALSE),0)</f>
        <v>0</v>
      </c>
      <c r="AO85" s="25">
        <f>SUM(Table1[[#This Row],[yr 3_wl]:[yr 3_pf]])</f>
        <v>0</v>
      </c>
      <c r="AP85" s="25">
        <f>IF(Table1[[#This Row],[Years_Next_Rehab_Well]]=4,VLOOKUP(Table1[[#This Row],[Item_Rehab_WL]],[1]!Table2[#All],7,FALSE),0)</f>
        <v>0</v>
      </c>
      <c r="AQ85" s="25">
        <f>IF(Table1[[#This Row],[Adjusted_ULife_HP]]=4,VLOOKUP(Table1[[#This Row],[Item_Handpump]],[1]!Table2[#All],7,FALSE),0)</f>
        <v>0</v>
      </c>
      <c r="AR85" s="25">
        <f>IF(Table1[[#This Row],[Adjusted_ULife_PF]]=4,VLOOKUP(Table1[[#This Row],[Item_Platform]],[1]!Table2[#All],7,FALSE),0)</f>
        <v>0</v>
      </c>
      <c r="AS85" s="25">
        <f>SUM(Table1[[#This Row],[yr 4_wl]:[yr 4_pf]])</f>
        <v>0</v>
      </c>
      <c r="AT85" s="25">
        <f>IF(Table1[[#This Row],[Years_Next_Rehab_Well]]=5,VLOOKUP(Table1[[#This Row],[Item_Rehab_WL]],[1]!Table2[#All],8,FALSE),0)</f>
        <v>0</v>
      </c>
      <c r="AU85" s="25">
        <f>IF(Table1[[#This Row],[Adjusted_ULife_HP]]=5,VLOOKUP(Table1[[#This Row],[Item_Handpump]],[1]!Table2[#All],8,FALSE),0)</f>
        <v>0</v>
      </c>
      <c r="AV85" s="25">
        <f>IF(Table1[[#This Row],[Adjusted_ULife_PF]]=5,VLOOKUP(Table1[[#This Row],[Item_Platform]],[1]!Table2[#All],8,FALSE),0)</f>
        <v>0</v>
      </c>
      <c r="AW85" s="25">
        <f>SUM(Table1[[#This Row],[yr 5_wl]:[yr 5_pf]])</f>
        <v>0</v>
      </c>
      <c r="AX85" s="25">
        <f>IF(Table1[[#This Row],[Years_Next_Rehab_Well]]=6,VLOOKUP(Table1[[#This Row],[Item_Rehab_WL]],[1]!Table2[#All],9,FALSE),0)</f>
        <v>0</v>
      </c>
      <c r="AY85" s="25">
        <f>IF(Table1[[#This Row],[Adjusted_ULife_HP]]=6,VLOOKUP(Table1[[#This Row],[Item_Handpump]],[1]!Table2[#All],9,FALSE),0)</f>
        <v>0</v>
      </c>
      <c r="AZ85" s="25">
        <f>IF(Table1[[#This Row],[Adjusted_ULife_PF]]=6,VLOOKUP(Table1[[#This Row],[Item_Platform]],[1]!Table2[#All],9,FALSE),0)</f>
        <v>0</v>
      </c>
      <c r="BA85" s="25">
        <f>SUM(Table1[[#This Row],[yr 6_wl]:[yr 6_pf]])</f>
        <v>0</v>
      </c>
      <c r="BB85" s="25">
        <f>IF(Table1[[#This Row],[Years_Next_Rehab_Well]]=7,VLOOKUP(Table1[[#This Row],[Item_Rehab_WL]],[1]!Table2[#All],10,FALSE),0)</f>
        <v>0</v>
      </c>
      <c r="BC85" s="25">
        <f>IF(Table1[[#This Row],[Adjusted_ULife_HP]]=7,VLOOKUP(Table1[[#This Row],[Item_Handpump]],[1]!Table2[#All],10,FALSE),0)</f>
        <v>0</v>
      </c>
      <c r="BD85" s="25">
        <f>IF(Table1[[#This Row],[Adjusted_ULife_PF]]=7,VLOOKUP(Table1[[#This Row],[Item_Platform]],[1]!Table2[#All],10,FALSE),0)</f>
        <v>3316.0221111091228</v>
      </c>
      <c r="BE85" s="25">
        <f>SUM(Table1[[#This Row],[yr 7_wl]:[yr 7_pf]])</f>
        <v>3316.0221111091228</v>
      </c>
      <c r="BF85" s="25">
        <f>IF(Table1[[#This Row],[Years_Next_Rehab_Well]]=8,VLOOKUP(Table1[[#This Row],[Item_Rehab_WL]],[1]!Table2[#All],11,FALSE),0)</f>
        <v>0</v>
      </c>
      <c r="BG85" s="25">
        <f>IF(Table1[[#This Row],[Adjusted_ULife_HP]]=8,VLOOKUP(Table1[[#This Row],[Item_Handpump]],[1]!Table2[#All],11,FALSE),0)</f>
        <v>0</v>
      </c>
      <c r="BH85" s="25">
        <f>IF(Table1[[#This Row],[Adjusted_ULife_PF]]=8,VLOOKUP(Table1[[#This Row],[Item_Platform]],[1]!Table2[#All],11,FALSE),0)</f>
        <v>0</v>
      </c>
      <c r="BI85" s="25">
        <f>SUM(Table1[[#This Row],[yr 8_wl]:[yr 8_pf]])</f>
        <v>0</v>
      </c>
      <c r="BJ85" s="25">
        <f>IF(Table1[[#This Row],[Years_Next_Rehab_Well]]=9,VLOOKUP(Table1[[#This Row],[Item_Rehab_WL]],[1]!Table2[#All],12,FALSE),0)</f>
        <v>0</v>
      </c>
      <c r="BK85" s="25">
        <f>IF(Table1[[#This Row],[Adjusted_ULife_HP]]=9,VLOOKUP(Table1[[#This Row],[Item_Handpump]],[1]!Table2[#All],12,FALSE),0)</f>
        <v>0</v>
      </c>
      <c r="BL85" s="25">
        <f>IF(Table1[[#This Row],[Adjusted_ULife_PF]]=9,VLOOKUP(Table1[[#This Row],[Item_Platform]],[1]!Table2[#All],12,FALSE),0)</f>
        <v>0</v>
      </c>
      <c r="BM85" s="25">
        <f>SUM(Table1[[#This Row],[yr 9_wl]:[yr 9_pf]])</f>
        <v>0</v>
      </c>
      <c r="BN85" s="25">
        <f>IF(Table1[[#This Row],[Years_Next_Rehab_Well]]=10,VLOOKUP(Table1[[#This Row],[Item_Rehab_WL]],[1]!Table2[#All],13,FALSE),0)</f>
        <v>0</v>
      </c>
      <c r="BO85" s="25">
        <f>IF(Table1[[#This Row],[Adjusted_ULife_HP]]=10,VLOOKUP(Table1[[#This Row],[Item_Handpump]],[1]!Table2[#All],13,FALSE),0)</f>
        <v>0</v>
      </c>
      <c r="BP85" s="25">
        <f>IF(Table1[[#This Row],[Adjusted_ULife_PF]]=10,VLOOKUP(Table1[[#This Row],[Item_Platform]],[1]!Table2[#All],13,FALSE),0)</f>
        <v>0</v>
      </c>
      <c r="BQ85" s="25">
        <f>SUM(Table1[[#This Row],[yr 10_wl]:[yr 10_pf]])</f>
        <v>0</v>
      </c>
      <c r="BR85" s="25">
        <f>IF(Table1[[#This Row],[Years_Next_Rehab_Well]]=11,VLOOKUP(Table1[[#This Row],[Item_Rehab_WL]],[1]!Table2[#All],14,FALSE),0)</f>
        <v>0</v>
      </c>
      <c r="BS85" s="25">
        <f>IF(Table1[[#This Row],[Adjusted_ULife_HP]]=11,VLOOKUP(Table1[[#This Row],[Item_Handpump]],[1]!Table2[#All],14,FALSE),0)</f>
        <v>0</v>
      </c>
      <c r="BT85" s="25">
        <f>IF(Table1[[#This Row],[Adjusted_ULife_PF]]=11,VLOOKUP(Table1[[#This Row],[Item_Platform]],[1]!Table2[#All],14,FALSE),0)</f>
        <v>0</v>
      </c>
      <c r="BU85" s="25">
        <f>SUM(Table1[[#This Row],[yr 11_wl]:[yr 11_pf]])</f>
        <v>0</v>
      </c>
      <c r="BV85" s="25">
        <f>IF(Table1[[#This Row],[Years_Next_Rehab_Well]]=12,VLOOKUP(Table1[[#This Row],[Item_Rehab_WL]],[1]!Table2[#All],15,FALSE),0)</f>
        <v>0</v>
      </c>
      <c r="BW85" s="25">
        <f>IF(Table1[[#This Row],[Adjusted_ULife_HP]]=12,VLOOKUP(Table1[[#This Row],[Item_Handpump]],[1]!Table2[#All],15,FALSE),0)</f>
        <v>0</v>
      </c>
      <c r="BX85" s="25">
        <f>IF(Table1[[#This Row],[Adjusted_ULife_PF]]=12,VLOOKUP(Table1[[#This Row],[Item_Platform]],[1]!Table2[#All],15,FALSE),0)</f>
        <v>0</v>
      </c>
      <c r="BY85" s="25">
        <f>SUM(Table1[[#This Row],[yr 12_wl]:[yr 12_pf]])</f>
        <v>0</v>
      </c>
      <c r="BZ85" s="25">
        <f>IF(Table1[[#This Row],[Years_Next_Rehab_Well]]=13,VLOOKUP(Table1[[#This Row],[Item_Rehab_WL]],[1]!Table2[#All],16,FALSE),0)</f>
        <v>0</v>
      </c>
      <c r="CA85" s="25">
        <f>IF(Table1[[#This Row],[Adjusted_ULife_HP]]=13,VLOOKUP(Table1[[#This Row],[Item_Handpump]],[1]!Table2[#All],16,FALSE),0)</f>
        <v>0</v>
      </c>
      <c r="CB85" s="25">
        <f>IF(Table1[[#This Row],[Adjusted_ULife_PF]]=13,VLOOKUP(Table1[[#This Row],[Item_Platform]],[1]!Table2[#All],16,FALSE),0)</f>
        <v>0</v>
      </c>
      <c r="CC85" s="25">
        <f>SUM(Table1[[#This Row],[yr 13_wl]:[yr 13_pf]])</f>
        <v>0</v>
      </c>
      <c r="CD85" s="12"/>
    </row>
    <row r="86" spans="1:82" s="11" customFormat="1" x14ac:dyDescent="0.25">
      <c r="A86" s="11" t="str">
        <f>IF([1]Input_monitoring_data!A82="","",[1]Input_monitoring_data!A82)</f>
        <v>eh81-m3sx-3d44</v>
      </c>
      <c r="B86" s="22" t="str">
        <f>[1]Input_monitoring_data!BH82</f>
        <v>Ntotroso</v>
      </c>
      <c r="C86" s="22" t="str">
        <f>[1]Input_monitoring_data!BI82</f>
        <v>Akyease</v>
      </c>
      <c r="D86" s="22" t="str">
        <f>[1]Input_monitoring_data!P82</f>
        <v>7.066751375804051</v>
      </c>
      <c r="E86" s="22" t="str">
        <f>[1]Input_monitoring_data!Q82</f>
        <v>-2.3177158040467396</v>
      </c>
      <c r="F86" s="22" t="str">
        <f>[1]Input_monitoring_data!V82</f>
        <v>In The Premises Of Nana Gyasihene</v>
      </c>
      <c r="G86" s="23" t="str">
        <f>[1]Input_monitoring_data!U82</f>
        <v>Borehole</v>
      </c>
      <c r="H86" s="22">
        <f>[1]Input_monitoring_data!X82</f>
        <v>1987</v>
      </c>
      <c r="I86" s="21" t="str">
        <f>[1]Input_monitoring_data!AB82</f>
        <v>Borehole redevelopment</v>
      </c>
      <c r="J86" s="21">
        <f>[1]Input_monitoring_data!AC82</f>
        <v>0</v>
      </c>
      <c r="K86" s="23" t="str">
        <f>[1]Input_monitoring_data!W82</f>
        <v>Ghana modified India Mark II</v>
      </c>
      <c r="L86" s="22">
        <f>[1]Input_monitoring_data!X82</f>
        <v>1987</v>
      </c>
      <c r="M86" s="21" t="str">
        <f>IF([1]Input_monitoring_data!BL82&gt;'Point Sources_Asset_Register_'!L86,[1]Input_monitoring_data!BL82,"")</f>
        <v/>
      </c>
      <c r="N86" s="22" t="str">
        <f>[1]Input_monitoring_data!BQ82</f>
        <v>functional</v>
      </c>
      <c r="O86" s="22">
        <f>[1]Input_monitoring_data!AJ82</f>
        <v>0</v>
      </c>
      <c r="P86" s="23" t="s">
        <v>0</v>
      </c>
      <c r="Q86" s="22">
        <f>L86</f>
        <v>1987</v>
      </c>
      <c r="R86" s="21" t="str">
        <f>M86</f>
        <v/>
      </c>
      <c r="S86" s="20">
        <f>[1]Input_EUL_CRC_ERC!$B$17-Table1[[#This Row],[Year Installed_WL]]</f>
        <v>30</v>
      </c>
      <c r="T86" s="20">
        <f>[1]Input_EUL_CRC_ERC!$B$17-(IF(Table1[[#This Row],[Year Last_Rehab_WL ]]=0,Table1[[#This Row],[Year Installed_WL]],[1]Input_EUL_CRC_ERC!$B$17-Table1[[#This Row],[Year Last_Rehab_WL ]]))</f>
        <v>30</v>
      </c>
      <c r="U86" s="20">
        <f>(VLOOKUP(Table1[[#This Row],[Item_Rehab_WL]],[1]Input_EUL_CRC_ERC!$C$17:$E$27,2,FALSE)-Table1[[#This Row],[Last Rehab Age]])</f>
        <v>-15</v>
      </c>
      <c r="V86" s="19">
        <f>[1]Input_EUL_CRC_ERC!$B$17-Table1[[#This Row],[Year Installed_HP]]</f>
        <v>30</v>
      </c>
      <c r="W86" s="19">
        <f>(VLOOKUP(Table1[[#This Row],[Item_Handpump]],[1]!Table2[#All],2,FALSE))-(IF(Table1[[#This Row],[Year Last_Rehab_HP]]="",Table1[[#This Row],[Current Age_Handpump]],[1]Input_EUL_CRC_ERC!$B$17-Table1[[#This Row],[Year Last_Rehab_HP]]))</f>
        <v>-10</v>
      </c>
      <c r="X86" s="19">
        <f>[1]Input_EUL_CRC_ERC!$B$17-Table1[[#This Row],[Year Installed_PF]]</f>
        <v>30</v>
      </c>
      <c r="Y86" s="19">
        <f>(VLOOKUP(Table1[[#This Row],[Item_Platform]],[1]!Table2[#All],2,FALSE))-(IF(Table1[[#This Row],[Year Last_Rehab_PF]]="",Table1[[#This Row],[Current Age_Platform]],[1]Input_EUL_CRC_ERC!$B$17-Table1[[#This Row],[Year Last_Rehab_PF]]))</f>
        <v>-20</v>
      </c>
      <c r="Z86" s="25">
        <f>IF(Table1[[#This Row],[Years_Next_Rehab_Well]]&lt;=0,VLOOKUP(Table1[[#This Row],[Item_Rehab_WL]],[1]!Table2[#All],3,FALSE),0)</f>
        <v>3666.6666666666665</v>
      </c>
      <c r="AA86" s="18">
        <f>IF(Table1[[#This Row],[Adjusted_ULife_HP]]&lt;=0,VLOOKUP(Table1[[#This Row],[Item_Handpump]],[1]!Table2[#All],3,FALSE),0)</f>
        <v>400</v>
      </c>
      <c r="AB86" s="18">
        <f>IF(Table1[[#This Row],[Adjusted_ULife_PF]]&lt;=0,VLOOKUP(Table1[[#This Row],[Item_Platform]],[1]!Table2[#All],3,FALSE),0)</f>
        <v>1500</v>
      </c>
      <c r="AC86" s="18">
        <f>SUM(Table1[[#This Row],[current yr_wl]:[current yr_pf]])</f>
        <v>5566.6666666666661</v>
      </c>
      <c r="AD86" s="25">
        <f>IF(Table1[[#This Row],[Years_Next_Rehab_Well]]=1,VLOOKUP(Table1[[#This Row],[Item_Rehab_WL]],[1]!Table2[#All],4,FALSE),0)</f>
        <v>0</v>
      </c>
      <c r="AE86" s="25">
        <f>IF(Table1[[#This Row],[Adjusted_ULife_HP]]=1,VLOOKUP(Table1[[#This Row],[Item_Handpump]],[1]!Table2[#All],4,FALSE),0)</f>
        <v>0</v>
      </c>
      <c r="AF86" s="25">
        <f>IF(Table1[[#This Row],[Adjusted_ULife_PF]]=1,VLOOKUP(Table1[[#This Row],[Item_Platform]],[1]!Table2[#All],4,FALSE),0)</f>
        <v>0</v>
      </c>
      <c r="AG86" s="25">
        <f>SUM(Table1[[#This Row],[yr 1_wl]:[yr 1_pf]])</f>
        <v>0</v>
      </c>
      <c r="AH86" s="25">
        <f>IF(Table1[[#This Row],[Years_Next_Rehab_Well]]=2,VLOOKUP(Table1[[#This Row],[Item_Rehab_WL]],[1]!Table2[#All],5,FALSE),0)</f>
        <v>0</v>
      </c>
      <c r="AI86" s="25">
        <f>IF(Table1[[#This Row],[Adjusted_ULife_HP]]=2,VLOOKUP(Table1[[#This Row],[Item_Handpump]],[1]!Table2[#All],5,FALSE),0)</f>
        <v>0</v>
      </c>
      <c r="AJ86" s="25">
        <f>IF(Table1[[#This Row],[Adjusted_ULife_PF]]=2,VLOOKUP(Table1[[#This Row],[Item_Platform]],[1]!Table2[#All],5,FALSE),0)</f>
        <v>0</v>
      </c>
      <c r="AK86" s="25">
        <f>SUM(Table1[[#This Row],[yr 2_wl]:[yr 2_pf]])</f>
        <v>0</v>
      </c>
      <c r="AL86" s="25">
        <f>IF(Table1[[#This Row],[Years_Next_Rehab_Well]]=3,VLOOKUP(Table1[[#This Row],[Item_Rehab_WL]],[1]!Table2[#All],6,FALSE),0)</f>
        <v>0</v>
      </c>
      <c r="AM86" s="25">
        <f>IF(Table1[[#This Row],[Adjusted_ULife_HP]]=3,VLOOKUP(Table1[[#This Row],[Item_Handpump]],[1]!Table2[#All],6,FALSE),0)</f>
        <v>0</v>
      </c>
      <c r="AN86" s="25">
        <f>IF(Table1[[#This Row],[Adjusted_ULife_PF]]=3,VLOOKUP(Table1[[#This Row],[Item_Platform]],[1]!Table2[#All],6,FALSE),0)</f>
        <v>0</v>
      </c>
      <c r="AO86" s="25">
        <f>SUM(Table1[[#This Row],[yr 3_wl]:[yr 3_pf]])</f>
        <v>0</v>
      </c>
      <c r="AP86" s="25">
        <f>IF(Table1[[#This Row],[Years_Next_Rehab_Well]]=4,VLOOKUP(Table1[[#This Row],[Item_Rehab_WL]],[1]!Table2[#All],7,FALSE),0)</f>
        <v>0</v>
      </c>
      <c r="AQ86" s="25">
        <f>IF(Table1[[#This Row],[Adjusted_ULife_HP]]=4,VLOOKUP(Table1[[#This Row],[Item_Handpump]],[1]!Table2[#All],7,FALSE),0)</f>
        <v>0</v>
      </c>
      <c r="AR86" s="25">
        <f>IF(Table1[[#This Row],[Adjusted_ULife_PF]]=4,VLOOKUP(Table1[[#This Row],[Item_Platform]],[1]!Table2[#All],7,FALSE),0)</f>
        <v>0</v>
      </c>
      <c r="AS86" s="25">
        <f>SUM(Table1[[#This Row],[yr 4_wl]:[yr 4_pf]])</f>
        <v>0</v>
      </c>
      <c r="AT86" s="25">
        <f>IF(Table1[[#This Row],[Years_Next_Rehab_Well]]=5,VLOOKUP(Table1[[#This Row],[Item_Rehab_WL]],[1]!Table2[#All],8,FALSE),0)</f>
        <v>0</v>
      </c>
      <c r="AU86" s="25">
        <f>IF(Table1[[#This Row],[Adjusted_ULife_HP]]=5,VLOOKUP(Table1[[#This Row],[Item_Handpump]],[1]!Table2[#All],8,FALSE),0)</f>
        <v>0</v>
      </c>
      <c r="AV86" s="25">
        <f>IF(Table1[[#This Row],[Adjusted_ULife_PF]]=5,VLOOKUP(Table1[[#This Row],[Item_Platform]],[1]!Table2[#All],8,FALSE),0)</f>
        <v>0</v>
      </c>
      <c r="AW86" s="25">
        <f>SUM(Table1[[#This Row],[yr 5_wl]:[yr 5_pf]])</f>
        <v>0</v>
      </c>
      <c r="AX86" s="25">
        <f>IF(Table1[[#This Row],[Years_Next_Rehab_Well]]=6,VLOOKUP(Table1[[#This Row],[Item_Rehab_WL]],[1]!Table2[#All],9,FALSE),0)</f>
        <v>0</v>
      </c>
      <c r="AY86" s="25">
        <f>IF(Table1[[#This Row],[Adjusted_ULife_HP]]=6,VLOOKUP(Table1[[#This Row],[Item_Handpump]],[1]!Table2[#All],9,FALSE),0)</f>
        <v>0</v>
      </c>
      <c r="AZ86" s="25">
        <f>IF(Table1[[#This Row],[Adjusted_ULife_PF]]=6,VLOOKUP(Table1[[#This Row],[Item_Platform]],[1]!Table2[#All],9,FALSE),0)</f>
        <v>0</v>
      </c>
      <c r="BA86" s="25">
        <f>SUM(Table1[[#This Row],[yr 6_wl]:[yr 6_pf]])</f>
        <v>0</v>
      </c>
      <c r="BB86" s="25">
        <f>IF(Table1[[#This Row],[Years_Next_Rehab_Well]]=7,VLOOKUP(Table1[[#This Row],[Item_Rehab_WL]],[1]!Table2[#All],10,FALSE),0)</f>
        <v>0</v>
      </c>
      <c r="BC86" s="25">
        <f>IF(Table1[[#This Row],[Adjusted_ULife_HP]]=7,VLOOKUP(Table1[[#This Row],[Item_Handpump]],[1]!Table2[#All],10,FALSE),0)</f>
        <v>0</v>
      </c>
      <c r="BD86" s="25">
        <f>IF(Table1[[#This Row],[Adjusted_ULife_PF]]=7,VLOOKUP(Table1[[#This Row],[Item_Platform]],[1]!Table2[#All],10,FALSE),0)</f>
        <v>0</v>
      </c>
      <c r="BE86" s="25">
        <f>SUM(Table1[[#This Row],[yr 7_wl]:[yr 7_pf]])</f>
        <v>0</v>
      </c>
      <c r="BF86" s="25">
        <f>IF(Table1[[#This Row],[Years_Next_Rehab_Well]]=8,VLOOKUP(Table1[[#This Row],[Item_Rehab_WL]],[1]!Table2[#All],11,FALSE),0)</f>
        <v>0</v>
      </c>
      <c r="BG86" s="25">
        <f>IF(Table1[[#This Row],[Adjusted_ULife_HP]]=8,VLOOKUP(Table1[[#This Row],[Item_Handpump]],[1]!Table2[#All],11,FALSE),0)</f>
        <v>0</v>
      </c>
      <c r="BH86" s="25">
        <f>IF(Table1[[#This Row],[Adjusted_ULife_PF]]=8,VLOOKUP(Table1[[#This Row],[Item_Platform]],[1]!Table2[#All],11,FALSE),0)</f>
        <v>0</v>
      </c>
      <c r="BI86" s="25">
        <f>SUM(Table1[[#This Row],[yr 8_wl]:[yr 8_pf]])</f>
        <v>0</v>
      </c>
      <c r="BJ86" s="25">
        <f>IF(Table1[[#This Row],[Years_Next_Rehab_Well]]=9,VLOOKUP(Table1[[#This Row],[Item_Rehab_WL]],[1]!Table2[#All],12,FALSE),0)</f>
        <v>0</v>
      </c>
      <c r="BK86" s="25">
        <f>IF(Table1[[#This Row],[Adjusted_ULife_HP]]=9,VLOOKUP(Table1[[#This Row],[Item_Handpump]],[1]!Table2[#All],12,FALSE),0)</f>
        <v>0</v>
      </c>
      <c r="BL86" s="25">
        <f>IF(Table1[[#This Row],[Adjusted_ULife_PF]]=9,VLOOKUP(Table1[[#This Row],[Item_Platform]],[1]!Table2[#All],12,FALSE),0)</f>
        <v>0</v>
      </c>
      <c r="BM86" s="25">
        <f>SUM(Table1[[#This Row],[yr 9_wl]:[yr 9_pf]])</f>
        <v>0</v>
      </c>
      <c r="BN86" s="25">
        <f>IF(Table1[[#This Row],[Years_Next_Rehab_Well]]=10,VLOOKUP(Table1[[#This Row],[Item_Rehab_WL]],[1]!Table2[#All],13,FALSE),0)</f>
        <v>0</v>
      </c>
      <c r="BO86" s="25">
        <f>IF(Table1[[#This Row],[Adjusted_ULife_HP]]=10,VLOOKUP(Table1[[#This Row],[Item_Handpump]],[1]!Table2[#All],13,FALSE),0)</f>
        <v>0</v>
      </c>
      <c r="BP86" s="25">
        <f>IF(Table1[[#This Row],[Adjusted_ULife_PF]]=10,VLOOKUP(Table1[[#This Row],[Item_Platform]],[1]!Table2[#All],13,FALSE),0)</f>
        <v>0</v>
      </c>
      <c r="BQ86" s="25">
        <f>SUM(Table1[[#This Row],[yr 10_wl]:[yr 10_pf]])</f>
        <v>0</v>
      </c>
      <c r="BR86" s="25">
        <f>IF(Table1[[#This Row],[Years_Next_Rehab_Well]]=11,VLOOKUP(Table1[[#This Row],[Item_Rehab_WL]],[1]!Table2[#All],14,FALSE),0)</f>
        <v>0</v>
      </c>
      <c r="BS86" s="25">
        <f>IF(Table1[[#This Row],[Adjusted_ULife_HP]]=11,VLOOKUP(Table1[[#This Row],[Item_Handpump]],[1]!Table2[#All],14,FALSE),0)</f>
        <v>0</v>
      </c>
      <c r="BT86" s="25">
        <f>IF(Table1[[#This Row],[Adjusted_ULife_PF]]=11,VLOOKUP(Table1[[#This Row],[Item_Platform]],[1]!Table2[#All],14,FALSE),0)</f>
        <v>0</v>
      </c>
      <c r="BU86" s="25">
        <f>SUM(Table1[[#This Row],[yr 11_wl]:[yr 11_pf]])</f>
        <v>0</v>
      </c>
      <c r="BV86" s="25">
        <f>IF(Table1[[#This Row],[Years_Next_Rehab_Well]]=12,VLOOKUP(Table1[[#This Row],[Item_Rehab_WL]],[1]!Table2[#All],15,FALSE),0)</f>
        <v>0</v>
      </c>
      <c r="BW86" s="25">
        <f>IF(Table1[[#This Row],[Adjusted_ULife_HP]]=12,VLOOKUP(Table1[[#This Row],[Item_Handpump]],[1]!Table2[#All],15,FALSE),0)</f>
        <v>0</v>
      </c>
      <c r="BX86" s="25">
        <f>IF(Table1[[#This Row],[Adjusted_ULife_PF]]=12,VLOOKUP(Table1[[#This Row],[Item_Platform]],[1]!Table2[#All],15,FALSE),0)</f>
        <v>0</v>
      </c>
      <c r="BY86" s="25">
        <f>SUM(Table1[[#This Row],[yr 12_wl]:[yr 12_pf]])</f>
        <v>0</v>
      </c>
      <c r="BZ86" s="25">
        <f>IF(Table1[[#This Row],[Years_Next_Rehab_Well]]=13,VLOOKUP(Table1[[#This Row],[Item_Rehab_WL]],[1]!Table2[#All],16,FALSE),0)</f>
        <v>0</v>
      </c>
      <c r="CA86" s="25">
        <f>IF(Table1[[#This Row],[Adjusted_ULife_HP]]=13,VLOOKUP(Table1[[#This Row],[Item_Handpump]],[1]!Table2[#All],16,FALSE),0)</f>
        <v>0</v>
      </c>
      <c r="CB86" s="25">
        <f>IF(Table1[[#This Row],[Adjusted_ULife_PF]]=13,VLOOKUP(Table1[[#This Row],[Item_Platform]],[1]!Table2[#All],16,FALSE),0)</f>
        <v>0</v>
      </c>
      <c r="CC86" s="25">
        <f>SUM(Table1[[#This Row],[yr 13_wl]:[yr 13_pf]])</f>
        <v>0</v>
      </c>
      <c r="CD86" s="12"/>
    </row>
    <row r="87" spans="1:82" s="11" customFormat="1" x14ac:dyDescent="0.25">
      <c r="A87" s="11" t="str">
        <f>IF([1]Input_monitoring_data!A83="","",[1]Input_monitoring_data!A83)</f>
        <v>ejnw-d32b-28xg</v>
      </c>
      <c r="B87" s="22" t="str">
        <f>[1]Input_monitoring_data!BH83</f>
        <v>Kenyasi No.2</v>
      </c>
      <c r="C87" s="22" t="str">
        <f>[1]Input_monitoring_data!BI83</f>
        <v>Atwedie Kenyasi No.3</v>
      </c>
      <c r="D87" s="22" t="str">
        <f>[1]Input_monitoring_data!P83</f>
        <v>7.027067993866806</v>
      </c>
      <c r="E87" s="22" t="str">
        <f>[1]Input_monitoring_data!Q83</f>
        <v>-2.4776904678644183</v>
      </c>
      <c r="F87" s="22" t="str">
        <f>[1]Input_monitoring_data!V83</f>
        <v>Infront Of The Clinic</v>
      </c>
      <c r="G87" s="23" t="str">
        <f>[1]Input_monitoring_data!U83</f>
        <v>Borehole</v>
      </c>
      <c r="H87" s="22">
        <f>[1]Input_monitoring_data!X83</f>
        <v>2010</v>
      </c>
      <c r="I87" s="21" t="str">
        <f>[1]Input_monitoring_data!AB83</f>
        <v>Borehole redevelopment</v>
      </c>
      <c r="J87" s="21">
        <f>[1]Input_monitoring_data!AC83</f>
        <v>0</v>
      </c>
      <c r="K87" s="23" t="str">
        <f>[1]Input_monitoring_data!W83</f>
        <v>AfriDev</v>
      </c>
      <c r="L87" s="22">
        <f>[1]Input_monitoring_data!X83</f>
        <v>2010</v>
      </c>
      <c r="M87" s="21">
        <f>IF([1]Input_monitoring_data!BL83&gt;'Point Sources_Asset_Register_'!L87,[1]Input_monitoring_data!BL83,"")</f>
        <v>2014</v>
      </c>
      <c r="N87" s="22" t="str">
        <f>[1]Input_monitoring_data!BQ83</f>
        <v>functional</v>
      </c>
      <c r="O87" s="22">
        <f>[1]Input_monitoring_data!AJ83</f>
        <v>0</v>
      </c>
      <c r="P87" s="23" t="s">
        <v>0</v>
      </c>
      <c r="Q87" s="22">
        <f>L87</f>
        <v>2010</v>
      </c>
      <c r="R87" s="21">
        <f>M87</f>
        <v>2014</v>
      </c>
      <c r="S87" s="20">
        <f>[1]Input_EUL_CRC_ERC!$B$17-Table1[[#This Row],[Year Installed_WL]]</f>
        <v>7</v>
      </c>
      <c r="T87" s="20">
        <f>[1]Input_EUL_CRC_ERC!$B$17-(IF(Table1[[#This Row],[Year Last_Rehab_WL ]]=0,Table1[[#This Row],[Year Installed_WL]],[1]Input_EUL_CRC_ERC!$B$17-Table1[[#This Row],[Year Last_Rehab_WL ]]))</f>
        <v>7</v>
      </c>
      <c r="U87" s="20">
        <f>(VLOOKUP(Table1[[#This Row],[Item_Rehab_WL]],[1]Input_EUL_CRC_ERC!$C$17:$E$27,2,FALSE)-Table1[[#This Row],[Last Rehab Age]])</f>
        <v>8</v>
      </c>
      <c r="V87" s="19">
        <f>[1]Input_EUL_CRC_ERC!$B$17-Table1[[#This Row],[Year Installed_HP]]</f>
        <v>7</v>
      </c>
      <c r="W87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87" s="19">
        <f>[1]Input_EUL_CRC_ERC!$B$17-Table1[[#This Row],[Year Installed_PF]]</f>
        <v>7</v>
      </c>
      <c r="Y87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87" s="25">
        <f>IF(Table1[[#This Row],[Years_Next_Rehab_Well]]&lt;=0,VLOOKUP(Table1[[#This Row],[Item_Rehab_WL]],[1]!Table2[#All],3,FALSE),0)</f>
        <v>0</v>
      </c>
      <c r="AA87" s="18">
        <f>IF(Table1[[#This Row],[Adjusted_ULife_HP]]&lt;=0,VLOOKUP(Table1[[#This Row],[Item_Handpump]],[1]!Table2[#All],3,FALSE),0)</f>
        <v>0</v>
      </c>
      <c r="AB87" s="18">
        <f>IF(Table1[[#This Row],[Adjusted_ULife_PF]]&lt;=0,VLOOKUP(Table1[[#This Row],[Item_Platform]],[1]!Table2[#All],3,FALSE),0)</f>
        <v>0</v>
      </c>
      <c r="AC87" s="18">
        <f>SUM(Table1[[#This Row],[current yr_wl]:[current yr_pf]])</f>
        <v>0</v>
      </c>
      <c r="AD87" s="25">
        <f>IF(Table1[[#This Row],[Years_Next_Rehab_Well]]=1,VLOOKUP(Table1[[#This Row],[Item_Rehab_WL]],[1]!Table2[#All],4,FALSE),0)</f>
        <v>0</v>
      </c>
      <c r="AE87" s="25">
        <f>IF(Table1[[#This Row],[Adjusted_ULife_HP]]=1,VLOOKUP(Table1[[#This Row],[Item_Handpump]],[1]!Table2[#All],4,FALSE),0)</f>
        <v>0</v>
      </c>
      <c r="AF87" s="25">
        <f>IF(Table1[[#This Row],[Adjusted_ULife_PF]]=1,VLOOKUP(Table1[[#This Row],[Item_Platform]],[1]!Table2[#All],4,FALSE),0)</f>
        <v>0</v>
      </c>
      <c r="AG87" s="25">
        <f>SUM(Table1[[#This Row],[yr 1_wl]:[yr 1_pf]])</f>
        <v>0</v>
      </c>
      <c r="AH87" s="25">
        <f>IF(Table1[[#This Row],[Years_Next_Rehab_Well]]=2,VLOOKUP(Table1[[#This Row],[Item_Rehab_WL]],[1]!Table2[#All],5,FALSE),0)</f>
        <v>0</v>
      </c>
      <c r="AI87" s="25">
        <f>IF(Table1[[#This Row],[Adjusted_ULife_HP]]=2,VLOOKUP(Table1[[#This Row],[Item_Handpump]],[1]!Table2[#All],5,FALSE),0)</f>
        <v>0</v>
      </c>
      <c r="AJ87" s="25">
        <f>IF(Table1[[#This Row],[Adjusted_ULife_PF]]=2,VLOOKUP(Table1[[#This Row],[Item_Platform]],[1]!Table2[#All],5,FALSE),0)</f>
        <v>0</v>
      </c>
      <c r="AK87" s="25">
        <f>SUM(Table1[[#This Row],[yr 2_wl]:[yr 2_pf]])</f>
        <v>0</v>
      </c>
      <c r="AL87" s="25">
        <f>IF(Table1[[#This Row],[Years_Next_Rehab_Well]]=3,VLOOKUP(Table1[[#This Row],[Item_Rehab_WL]],[1]!Table2[#All],6,FALSE),0)</f>
        <v>0</v>
      </c>
      <c r="AM87" s="25">
        <f>IF(Table1[[#This Row],[Adjusted_ULife_HP]]=3,VLOOKUP(Table1[[#This Row],[Item_Handpump]],[1]!Table2[#All],6,FALSE),0)</f>
        <v>0</v>
      </c>
      <c r="AN87" s="25">
        <f>IF(Table1[[#This Row],[Adjusted_ULife_PF]]=3,VLOOKUP(Table1[[#This Row],[Item_Platform]],[1]!Table2[#All],6,FALSE),0)</f>
        <v>0</v>
      </c>
      <c r="AO87" s="25">
        <f>SUM(Table1[[#This Row],[yr 3_wl]:[yr 3_pf]])</f>
        <v>0</v>
      </c>
      <c r="AP87" s="25">
        <f>IF(Table1[[#This Row],[Years_Next_Rehab_Well]]=4,VLOOKUP(Table1[[#This Row],[Item_Rehab_WL]],[1]!Table2[#All],7,FALSE),0)</f>
        <v>0</v>
      </c>
      <c r="AQ87" s="25">
        <f>IF(Table1[[#This Row],[Adjusted_ULife_HP]]=4,VLOOKUP(Table1[[#This Row],[Item_Handpump]],[1]!Table2[#All],7,FALSE),0)</f>
        <v>0</v>
      </c>
      <c r="AR87" s="25">
        <f>IF(Table1[[#This Row],[Adjusted_ULife_PF]]=4,VLOOKUP(Table1[[#This Row],[Item_Platform]],[1]!Table2[#All],7,FALSE),0)</f>
        <v>0</v>
      </c>
      <c r="AS87" s="25">
        <f>SUM(Table1[[#This Row],[yr 4_wl]:[yr 4_pf]])</f>
        <v>0</v>
      </c>
      <c r="AT87" s="25">
        <f>IF(Table1[[#This Row],[Years_Next_Rehab_Well]]=5,VLOOKUP(Table1[[#This Row],[Item_Rehab_WL]],[1]!Table2[#All],8,FALSE),0)</f>
        <v>0</v>
      </c>
      <c r="AU87" s="25">
        <f>IF(Table1[[#This Row],[Adjusted_ULife_HP]]=5,VLOOKUP(Table1[[#This Row],[Item_Handpump]],[1]!Table2[#All],8,FALSE),0)</f>
        <v>0</v>
      </c>
      <c r="AV87" s="25">
        <f>IF(Table1[[#This Row],[Adjusted_ULife_PF]]=5,VLOOKUP(Table1[[#This Row],[Item_Platform]],[1]!Table2[#All],8,FALSE),0)</f>
        <v>0</v>
      </c>
      <c r="AW87" s="25">
        <f>SUM(Table1[[#This Row],[yr 5_wl]:[yr 5_pf]])</f>
        <v>0</v>
      </c>
      <c r="AX87" s="25">
        <f>IF(Table1[[#This Row],[Years_Next_Rehab_Well]]=6,VLOOKUP(Table1[[#This Row],[Item_Rehab_WL]],[1]!Table2[#All],9,FALSE),0)</f>
        <v>0</v>
      </c>
      <c r="AY87" s="25">
        <f>IF(Table1[[#This Row],[Adjusted_ULife_HP]]=6,VLOOKUP(Table1[[#This Row],[Item_Handpump]],[1]!Table2[#All],9,FALSE),0)</f>
        <v>0</v>
      </c>
      <c r="AZ87" s="25">
        <f>IF(Table1[[#This Row],[Adjusted_ULife_PF]]=6,VLOOKUP(Table1[[#This Row],[Item_Platform]],[1]!Table2[#All],9,FALSE),0)</f>
        <v>0</v>
      </c>
      <c r="BA87" s="25">
        <f>SUM(Table1[[#This Row],[yr 6_wl]:[yr 6_pf]])</f>
        <v>0</v>
      </c>
      <c r="BB87" s="25">
        <f>IF(Table1[[#This Row],[Years_Next_Rehab_Well]]=7,VLOOKUP(Table1[[#This Row],[Item_Rehab_WL]],[1]!Table2[#All],10,FALSE),0)</f>
        <v>0</v>
      </c>
      <c r="BC87" s="25">
        <f>IF(Table1[[#This Row],[Adjusted_ULife_HP]]=7,VLOOKUP(Table1[[#This Row],[Item_Handpump]],[1]!Table2[#All],10,FALSE),0)</f>
        <v>0</v>
      </c>
      <c r="BD87" s="25">
        <f>IF(Table1[[#This Row],[Adjusted_ULife_PF]]=7,VLOOKUP(Table1[[#This Row],[Item_Platform]],[1]!Table2[#All],10,FALSE),0)</f>
        <v>3316.0221111091228</v>
      </c>
      <c r="BE87" s="25">
        <f>SUM(Table1[[#This Row],[yr 7_wl]:[yr 7_pf]])</f>
        <v>3316.0221111091228</v>
      </c>
      <c r="BF87" s="25">
        <f>IF(Table1[[#This Row],[Years_Next_Rehab_Well]]=8,VLOOKUP(Table1[[#This Row],[Item_Rehab_WL]],[1]!Table2[#All],11,FALSE),0)</f>
        <v>9078.5316464143089</v>
      </c>
      <c r="BG87" s="25">
        <f>IF(Table1[[#This Row],[Adjusted_ULife_HP]]=8,VLOOKUP(Table1[[#This Row],[Item_Handpump]],[1]!Table2[#All],11,FALSE),0)</f>
        <v>0</v>
      </c>
      <c r="BH87" s="25">
        <f>IF(Table1[[#This Row],[Adjusted_ULife_PF]]=8,VLOOKUP(Table1[[#This Row],[Item_Platform]],[1]!Table2[#All],11,FALSE),0)</f>
        <v>0</v>
      </c>
      <c r="BI87" s="25">
        <f>SUM(Table1[[#This Row],[yr 8_wl]:[yr 8_pf]])</f>
        <v>9078.5316464143089</v>
      </c>
      <c r="BJ87" s="25">
        <f>IF(Table1[[#This Row],[Years_Next_Rehab_Well]]=9,VLOOKUP(Table1[[#This Row],[Item_Rehab_WL]],[1]!Table2[#All],12,FALSE),0)</f>
        <v>0</v>
      </c>
      <c r="BK87" s="25">
        <f>IF(Table1[[#This Row],[Adjusted_ULife_HP]]=9,VLOOKUP(Table1[[#This Row],[Item_Handpump]],[1]!Table2[#All],12,FALSE),0)</f>
        <v>0</v>
      </c>
      <c r="BL87" s="25">
        <f>IF(Table1[[#This Row],[Adjusted_ULife_PF]]=9,VLOOKUP(Table1[[#This Row],[Item_Platform]],[1]!Table2[#All],12,FALSE),0)</f>
        <v>0</v>
      </c>
      <c r="BM87" s="25">
        <f>SUM(Table1[[#This Row],[yr 9_wl]:[yr 9_pf]])</f>
        <v>0</v>
      </c>
      <c r="BN87" s="25">
        <f>IF(Table1[[#This Row],[Years_Next_Rehab_Well]]=10,VLOOKUP(Table1[[#This Row],[Item_Rehab_WL]],[1]!Table2[#All],13,FALSE),0)</f>
        <v>0</v>
      </c>
      <c r="BO87" s="25">
        <f>IF(Table1[[#This Row],[Adjusted_ULife_HP]]=10,VLOOKUP(Table1[[#This Row],[Item_Handpump]],[1]!Table2[#All],13,FALSE),0)</f>
        <v>0</v>
      </c>
      <c r="BP87" s="25">
        <f>IF(Table1[[#This Row],[Adjusted_ULife_PF]]=10,VLOOKUP(Table1[[#This Row],[Item_Platform]],[1]!Table2[#All],13,FALSE),0)</f>
        <v>0</v>
      </c>
      <c r="BQ87" s="25">
        <f>SUM(Table1[[#This Row],[yr 10_wl]:[yr 10_pf]])</f>
        <v>0</v>
      </c>
      <c r="BR87" s="25">
        <f>IF(Table1[[#This Row],[Years_Next_Rehab_Well]]=11,VLOOKUP(Table1[[#This Row],[Item_Rehab_WL]],[1]!Table2[#All],14,FALSE),0)</f>
        <v>0</v>
      </c>
      <c r="BS87" s="25">
        <f>IF(Table1[[#This Row],[Adjusted_ULife_HP]]=11,VLOOKUP(Table1[[#This Row],[Item_Handpump]],[1]!Table2[#All],14,FALSE),0)</f>
        <v>0</v>
      </c>
      <c r="BT87" s="25">
        <f>IF(Table1[[#This Row],[Adjusted_ULife_PF]]=11,VLOOKUP(Table1[[#This Row],[Item_Platform]],[1]!Table2[#All],14,FALSE),0)</f>
        <v>0</v>
      </c>
      <c r="BU87" s="25">
        <f>SUM(Table1[[#This Row],[yr 11_wl]:[yr 11_pf]])</f>
        <v>0</v>
      </c>
      <c r="BV87" s="25">
        <f>IF(Table1[[#This Row],[Years_Next_Rehab_Well]]=12,VLOOKUP(Table1[[#This Row],[Item_Rehab_WL]],[1]!Table2[#All],15,FALSE),0)</f>
        <v>0</v>
      </c>
      <c r="BW87" s="25">
        <f>IF(Table1[[#This Row],[Adjusted_ULife_HP]]=12,VLOOKUP(Table1[[#This Row],[Item_Handpump]],[1]!Table2[#All],15,FALSE),0)</f>
        <v>0</v>
      </c>
      <c r="BX87" s="25">
        <f>IF(Table1[[#This Row],[Adjusted_ULife_PF]]=12,VLOOKUP(Table1[[#This Row],[Item_Platform]],[1]!Table2[#All],15,FALSE),0)</f>
        <v>0</v>
      </c>
      <c r="BY87" s="25">
        <f>SUM(Table1[[#This Row],[yr 12_wl]:[yr 12_pf]])</f>
        <v>0</v>
      </c>
      <c r="BZ87" s="25">
        <f>IF(Table1[[#This Row],[Years_Next_Rehab_Well]]=13,VLOOKUP(Table1[[#This Row],[Item_Rehab_WL]],[1]!Table2[#All],16,FALSE),0)</f>
        <v>0</v>
      </c>
      <c r="CA87" s="25">
        <f>IF(Table1[[#This Row],[Adjusted_ULife_HP]]=13,VLOOKUP(Table1[[#This Row],[Item_Handpump]],[1]!Table2[#All],16,FALSE),0)</f>
        <v>0</v>
      </c>
      <c r="CB87" s="25">
        <f>IF(Table1[[#This Row],[Adjusted_ULife_PF]]=13,VLOOKUP(Table1[[#This Row],[Item_Platform]],[1]!Table2[#All],16,FALSE),0)</f>
        <v>0</v>
      </c>
      <c r="CC87" s="25">
        <f>SUM(Table1[[#This Row],[yr 13_wl]:[yr 13_pf]])</f>
        <v>0</v>
      </c>
      <c r="CD87" s="12"/>
    </row>
    <row r="88" spans="1:82" s="11" customFormat="1" x14ac:dyDescent="0.25">
      <c r="A88" s="11" t="str">
        <f>IF([1]Input_monitoring_data!A84="","",[1]Input_monitoring_data!A84)</f>
        <v>f1nb-7c5t-p9c7</v>
      </c>
      <c r="B88" s="22" t="str">
        <f>[1]Input_monitoring_data!BH84</f>
        <v>Ntotroso</v>
      </c>
      <c r="C88" s="22" t="str">
        <f>[1]Input_monitoring_data!BI84</f>
        <v>Amamaso</v>
      </c>
      <c r="D88" s="22" t="str">
        <f>[1]Input_monitoring_data!P84</f>
        <v>7.1226388558386695</v>
      </c>
      <c r="E88" s="22" t="str">
        <f>[1]Input_monitoring_data!Q84</f>
        <v>-2.3276132367463056</v>
      </c>
      <c r="F88" s="22" t="str">
        <f>[1]Input_monitoring_data!V84</f>
        <v>Opposite Family Of Christ Church</v>
      </c>
      <c r="G88" s="23" t="str">
        <f>[1]Input_monitoring_data!U84</f>
        <v>Borehole</v>
      </c>
      <c r="H88" s="22">
        <f>[1]Input_monitoring_data!X84</f>
        <v>2002</v>
      </c>
      <c r="I88" s="21" t="str">
        <f>[1]Input_monitoring_data!AB84</f>
        <v>Borehole redevelopment</v>
      </c>
      <c r="J88" s="21">
        <f>[1]Input_monitoring_data!AC84</f>
        <v>0</v>
      </c>
      <c r="K88" s="23" t="str">
        <f>[1]Input_monitoring_data!W84</f>
        <v>AfriDev</v>
      </c>
      <c r="L88" s="22">
        <f>[1]Input_monitoring_data!X84</f>
        <v>2002</v>
      </c>
      <c r="M88" s="21">
        <f>IF([1]Input_monitoring_data!BL84&gt;'Point Sources_Asset_Register_'!L88,[1]Input_monitoring_data!BL84,"")</f>
        <v>2014</v>
      </c>
      <c r="N88" s="22" t="str">
        <f>[1]Input_monitoring_data!BQ84</f>
        <v>not functional</v>
      </c>
      <c r="O88" s="22">
        <f>[1]Input_monitoring_data!AJ84</f>
        <v>0</v>
      </c>
      <c r="P88" s="23" t="s">
        <v>0</v>
      </c>
      <c r="Q88" s="22">
        <f>L88</f>
        <v>2002</v>
      </c>
      <c r="R88" s="21">
        <f>M88</f>
        <v>2014</v>
      </c>
      <c r="S88" s="20">
        <f>[1]Input_EUL_CRC_ERC!$B$17-Table1[[#This Row],[Year Installed_WL]]</f>
        <v>15</v>
      </c>
      <c r="T88" s="20">
        <f>[1]Input_EUL_CRC_ERC!$B$17-(IF(Table1[[#This Row],[Year Last_Rehab_WL ]]=0,Table1[[#This Row],[Year Installed_WL]],[1]Input_EUL_CRC_ERC!$B$17-Table1[[#This Row],[Year Last_Rehab_WL ]]))</f>
        <v>15</v>
      </c>
      <c r="U88" s="20">
        <f>(VLOOKUP(Table1[[#This Row],[Item_Rehab_WL]],[1]Input_EUL_CRC_ERC!$C$17:$E$27,2,FALSE)-Table1[[#This Row],[Last Rehab Age]])</f>
        <v>0</v>
      </c>
      <c r="V88" s="19">
        <f>[1]Input_EUL_CRC_ERC!$B$17-Table1[[#This Row],[Year Installed_HP]]</f>
        <v>15</v>
      </c>
      <c r="W88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88" s="19">
        <f>[1]Input_EUL_CRC_ERC!$B$17-Table1[[#This Row],[Year Installed_PF]]</f>
        <v>15</v>
      </c>
      <c r="Y88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88" s="25">
        <f>IF(Table1[[#This Row],[Years_Next_Rehab_Well]]&lt;=0,VLOOKUP(Table1[[#This Row],[Item_Rehab_WL]],[1]!Table2[#All],3,FALSE),0)</f>
        <v>3666.6666666666665</v>
      </c>
      <c r="AA88" s="18">
        <f>IF(Table1[[#This Row],[Adjusted_ULife_HP]]&lt;=0,VLOOKUP(Table1[[#This Row],[Item_Handpump]],[1]!Table2[#All],3,FALSE),0)</f>
        <v>0</v>
      </c>
      <c r="AB88" s="18">
        <f>IF(Table1[[#This Row],[Adjusted_ULife_PF]]&lt;=0,VLOOKUP(Table1[[#This Row],[Item_Platform]],[1]!Table2[#All],3,FALSE),0)</f>
        <v>0</v>
      </c>
      <c r="AC88" s="18">
        <f>SUM(Table1[[#This Row],[current yr_wl]:[current yr_pf]])</f>
        <v>3666.6666666666665</v>
      </c>
      <c r="AD88" s="25">
        <f>IF(Table1[[#This Row],[Years_Next_Rehab_Well]]=1,VLOOKUP(Table1[[#This Row],[Item_Rehab_WL]],[1]!Table2[#All],4,FALSE),0)</f>
        <v>0</v>
      </c>
      <c r="AE88" s="25">
        <f>IF(Table1[[#This Row],[Adjusted_ULife_HP]]=1,VLOOKUP(Table1[[#This Row],[Item_Handpump]],[1]!Table2[#All],4,FALSE),0)</f>
        <v>0</v>
      </c>
      <c r="AF88" s="25">
        <f>IF(Table1[[#This Row],[Adjusted_ULife_PF]]=1,VLOOKUP(Table1[[#This Row],[Item_Platform]],[1]!Table2[#All],4,FALSE),0)</f>
        <v>0</v>
      </c>
      <c r="AG88" s="25">
        <f>SUM(Table1[[#This Row],[yr 1_wl]:[yr 1_pf]])</f>
        <v>0</v>
      </c>
      <c r="AH88" s="25">
        <f>IF(Table1[[#This Row],[Years_Next_Rehab_Well]]=2,VLOOKUP(Table1[[#This Row],[Item_Rehab_WL]],[1]!Table2[#All],5,FALSE),0)</f>
        <v>0</v>
      </c>
      <c r="AI88" s="25">
        <f>IF(Table1[[#This Row],[Adjusted_ULife_HP]]=2,VLOOKUP(Table1[[#This Row],[Item_Handpump]],[1]!Table2[#All],5,FALSE),0)</f>
        <v>0</v>
      </c>
      <c r="AJ88" s="25">
        <f>IF(Table1[[#This Row],[Adjusted_ULife_PF]]=2,VLOOKUP(Table1[[#This Row],[Item_Platform]],[1]!Table2[#All],5,FALSE),0)</f>
        <v>0</v>
      </c>
      <c r="AK88" s="25">
        <f>SUM(Table1[[#This Row],[yr 2_wl]:[yr 2_pf]])</f>
        <v>0</v>
      </c>
      <c r="AL88" s="25">
        <f>IF(Table1[[#This Row],[Years_Next_Rehab_Well]]=3,VLOOKUP(Table1[[#This Row],[Item_Rehab_WL]],[1]!Table2[#All],6,FALSE),0)</f>
        <v>0</v>
      </c>
      <c r="AM88" s="25">
        <f>IF(Table1[[#This Row],[Adjusted_ULife_HP]]=3,VLOOKUP(Table1[[#This Row],[Item_Handpump]],[1]!Table2[#All],6,FALSE),0)</f>
        <v>0</v>
      </c>
      <c r="AN88" s="25">
        <f>IF(Table1[[#This Row],[Adjusted_ULife_PF]]=3,VLOOKUP(Table1[[#This Row],[Item_Platform]],[1]!Table2[#All],6,FALSE),0)</f>
        <v>0</v>
      </c>
      <c r="AO88" s="25">
        <f>SUM(Table1[[#This Row],[yr 3_wl]:[yr 3_pf]])</f>
        <v>0</v>
      </c>
      <c r="AP88" s="25">
        <f>IF(Table1[[#This Row],[Years_Next_Rehab_Well]]=4,VLOOKUP(Table1[[#This Row],[Item_Rehab_WL]],[1]!Table2[#All],7,FALSE),0)</f>
        <v>0</v>
      </c>
      <c r="AQ88" s="25">
        <f>IF(Table1[[#This Row],[Adjusted_ULife_HP]]=4,VLOOKUP(Table1[[#This Row],[Item_Handpump]],[1]!Table2[#All],7,FALSE),0)</f>
        <v>0</v>
      </c>
      <c r="AR88" s="25">
        <f>IF(Table1[[#This Row],[Adjusted_ULife_PF]]=4,VLOOKUP(Table1[[#This Row],[Item_Platform]],[1]!Table2[#All],7,FALSE),0)</f>
        <v>0</v>
      </c>
      <c r="AS88" s="25">
        <f>SUM(Table1[[#This Row],[yr 4_wl]:[yr 4_pf]])</f>
        <v>0</v>
      </c>
      <c r="AT88" s="25">
        <f>IF(Table1[[#This Row],[Years_Next_Rehab_Well]]=5,VLOOKUP(Table1[[#This Row],[Item_Rehab_WL]],[1]!Table2[#All],8,FALSE),0)</f>
        <v>0</v>
      </c>
      <c r="AU88" s="25">
        <f>IF(Table1[[#This Row],[Adjusted_ULife_HP]]=5,VLOOKUP(Table1[[#This Row],[Item_Handpump]],[1]!Table2[#All],8,FALSE),0)</f>
        <v>0</v>
      </c>
      <c r="AV88" s="25">
        <f>IF(Table1[[#This Row],[Adjusted_ULife_PF]]=5,VLOOKUP(Table1[[#This Row],[Item_Platform]],[1]!Table2[#All],8,FALSE),0)</f>
        <v>0</v>
      </c>
      <c r="AW88" s="25">
        <f>SUM(Table1[[#This Row],[yr 5_wl]:[yr 5_pf]])</f>
        <v>0</v>
      </c>
      <c r="AX88" s="25">
        <f>IF(Table1[[#This Row],[Years_Next_Rehab_Well]]=6,VLOOKUP(Table1[[#This Row],[Item_Rehab_WL]],[1]!Table2[#All],9,FALSE),0)</f>
        <v>0</v>
      </c>
      <c r="AY88" s="25">
        <f>IF(Table1[[#This Row],[Adjusted_ULife_HP]]=6,VLOOKUP(Table1[[#This Row],[Item_Handpump]],[1]!Table2[#All],9,FALSE),0)</f>
        <v>0</v>
      </c>
      <c r="AZ88" s="25">
        <f>IF(Table1[[#This Row],[Adjusted_ULife_PF]]=6,VLOOKUP(Table1[[#This Row],[Item_Platform]],[1]!Table2[#All],9,FALSE),0)</f>
        <v>0</v>
      </c>
      <c r="BA88" s="25">
        <f>SUM(Table1[[#This Row],[yr 6_wl]:[yr 6_pf]])</f>
        <v>0</v>
      </c>
      <c r="BB88" s="25">
        <f>IF(Table1[[#This Row],[Years_Next_Rehab_Well]]=7,VLOOKUP(Table1[[#This Row],[Item_Rehab_WL]],[1]!Table2[#All],10,FALSE),0)</f>
        <v>0</v>
      </c>
      <c r="BC88" s="25">
        <f>IF(Table1[[#This Row],[Adjusted_ULife_HP]]=7,VLOOKUP(Table1[[#This Row],[Item_Handpump]],[1]!Table2[#All],10,FALSE),0)</f>
        <v>0</v>
      </c>
      <c r="BD88" s="25">
        <f>IF(Table1[[#This Row],[Adjusted_ULife_PF]]=7,VLOOKUP(Table1[[#This Row],[Item_Platform]],[1]!Table2[#All],10,FALSE),0)</f>
        <v>3316.0221111091228</v>
      </c>
      <c r="BE88" s="25">
        <f>SUM(Table1[[#This Row],[yr 7_wl]:[yr 7_pf]])</f>
        <v>3316.0221111091228</v>
      </c>
      <c r="BF88" s="25">
        <f>IF(Table1[[#This Row],[Years_Next_Rehab_Well]]=8,VLOOKUP(Table1[[#This Row],[Item_Rehab_WL]],[1]!Table2[#All],11,FALSE),0)</f>
        <v>0</v>
      </c>
      <c r="BG88" s="25">
        <f>IF(Table1[[#This Row],[Adjusted_ULife_HP]]=8,VLOOKUP(Table1[[#This Row],[Item_Handpump]],[1]!Table2[#All],11,FALSE),0)</f>
        <v>0</v>
      </c>
      <c r="BH88" s="25">
        <f>IF(Table1[[#This Row],[Adjusted_ULife_PF]]=8,VLOOKUP(Table1[[#This Row],[Item_Platform]],[1]!Table2[#All],11,FALSE),0)</f>
        <v>0</v>
      </c>
      <c r="BI88" s="25">
        <f>SUM(Table1[[#This Row],[yr 8_wl]:[yr 8_pf]])</f>
        <v>0</v>
      </c>
      <c r="BJ88" s="25">
        <f>IF(Table1[[#This Row],[Years_Next_Rehab_Well]]=9,VLOOKUP(Table1[[#This Row],[Item_Rehab_WL]],[1]!Table2[#All],12,FALSE),0)</f>
        <v>0</v>
      </c>
      <c r="BK88" s="25">
        <f>IF(Table1[[#This Row],[Adjusted_ULife_HP]]=9,VLOOKUP(Table1[[#This Row],[Item_Handpump]],[1]!Table2[#All],12,FALSE),0)</f>
        <v>0</v>
      </c>
      <c r="BL88" s="25">
        <f>IF(Table1[[#This Row],[Adjusted_ULife_PF]]=9,VLOOKUP(Table1[[#This Row],[Item_Platform]],[1]!Table2[#All],12,FALSE),0)</f>
        <v>0</v>
      </c>
      <c r="BM88" s="25">
        <f>SUM(Table1[[#This Row],[yr 9_wl]:[yr 9_pf]])</f>
        <v>0</v>
      </c>
      <c r="BN88" s="25">
        <f>IF(Table1[[#This Row],[Years_Next_Rehab_Well]]=10,VLOOKUP(Table1[[#This Row],[Item_Rehab_WL]],[1]!Table2[#All],13,FALSE),0)</f>
        <v>0</v>
      </c>
      <c r="BO88" s="25">
        <f>IF(Table1[[#This Row],[Adjusted_ULife_HP]]=10,VLOOKUP(Table1[[#This Row],[Item_Handpump]],[1]!Table2[#All],13,FALSE),0)</f>
        <v>0</v>
      </c>
      <c r="BP88" s="25">
        <f>IF(Table1[[#This Row],[Adjusted_ULife_PF]]=10,VLOOKUP(Table1[[#This Row],[Item_Platform]],[1]!Table2[#All],13,FALSE),0)</f>
        <v>0</v>
      </c>
      <c r="BQ88" s="25">
        <f>SUM(Table1[[#This Row],[yr 10_wl]:[yr 10_pf]])</f>
        <v>0</v>
      </c>
      <c r="BR88" s="25">
        <f>IF(Table1[[#This Row],[Years_Next_Rehab_Well]]=11,VLOOKUP(Table1[[#This Row],[Item_Rehab_WL]],[1]!Table2[#All],14,FALSE),0)</f>
        <v>0</v>
      </c>
      <c r="BS88" s="25">
        <f>IF(Table1[[#This Row],[Adjusted_ULife_HP]]=11,VLOOKUP(Table1[[#This Row],[Item_Handpump]],[1]!Table2[#All],14,FALSE),0)</f>
        <v>0</v>
      </c>
      <c r="BT88" s="25">
        <f>IF(Table1[[#This Row],[Adjusted_ULife_PF]]=11,VLOOKUP(Table1[[#This Row],[Item_Platform]],[1]!Table2[#All],14,FALSE),0)</f>
        <v>0</v>
      </c>
      <c r="BU88" s="25">
        <f>SUM(Table1[[#This Row],[yr 11_wl]:[yr 11_pf]])</f>
        <v>0</v>
      </c>
      <c r="BV88" s="25">
        <f>IF(Table1[[#This Row],[Years_Next_Rehab_Well]]=12,VLOOKUP(Table1[[#This Row],[Item_Rehab_WL]],[1]!Table2[#All],15,FALSE),0)</f>
        <v>0</v>
      </c>
      <c r="BW88" s="25">
        <f>IF(Table1[[#This Row],[Adjusted_ULife_HP]]=12,VLOOKUP(Table1[[#This Row],[Item_Handpump]],[1]!Table2[#All],15,FALSE),0)</f>
        <v>0</v>
      </c>
      <c r="BX88" s="25">
        <f>IF(Table1[[#This Row],[Adjusted_ULife_PF]]=12,VLOOKUP(Table1[[#This Row],[Item_Platform]],[1]!Table2[#All],15,FALSE),0)</f>
        <v>0</v>
      </c>
      <c r="BY88" s="25">
        <f>SUM(Table1[[#This Row],[yr 12_wl]:[yr 12_pf]])</f>
        <v>0</v>
      </c>
      <c r="BZ88" s="25">
        <f>IF(Table1[[#This Row],[Years_Next_Rehab_Well]]=13,VLOOKUP(Table1[[#This Row],[Item_Rehab_WL]],[1]!Table2[#All],16,FALSE),0)</f>
        <v>0</v>
      </c>
      <c r="CA88" s="25">
        <f>IF(Table1[[#This Row],[Adjusted_ULife_HP]]=13,VLOOKUP(Table1[[#This Row],[Item_Handpump]],[1]!Table2[#All],16,FALSE),0)</f>
        <v>0</v>
      </c>
      <c r="CB88" s="25">
        <f>IF(Table1[[#This Row],[Adjusted_ULife_PF]]=13,VLOOKUP(Table1[[#This Row],[Item_Platform]],[1]!Table2[#All],16,FALSE),0)</f>
        <v>0</v>
      </c>
      <c r="CC88" s="25">
        <f>SUM(Table1[[#This Row],[yr 13_wl]:[yr 13_pf]])</f>
        <v>0</v>
      </c>
      <c r="CD88" s="12"/>
    </row>
    <row r="89" spans="1:82" s="11" customFormat="1" x14ac:dyDescent="0.25">
      <c r="A89" s="11" t="str">
        <f>IF([1]Input_monitoring_data!A85="","",[1]Input_monitoring_data!A85)</f>
        <v>f9tx-yjad-2u2n</v>
      </c>
      <c r="B89" s="22" t="str">
        <f>[1]Input_monitoring_data!BH85</f>
        <v>Kenyasi No.1</v>
      </c>
      <c r="C89" s="22" t="str">
        <f>[1]Input_monitoring_data!BI85</f>
        <v>Kwahu No.2</v>
      </c>
      <c r="D89" s="22" t="str">
        <f>[1]Input_monitoring_data!P85</f>
        <v>6.951704716957737</v>
      </c>
      <c r="E89" s="22" t="str">
        <f>[1]Input_monitoring_data!Q85</f>
        <v>-2.478357500739697</v>
      </c>
      <c r="F89" s="22" t="str">
        <f>[1]Input_monitoring_data!V85</f>
        <v>Along Mim Road.</v>
      </c>
      <c r="G89" s="23" t="str">
        <f>[1]Input_monitoring_data!U85</f>
        <v>Borehole</v>
      </c>
      <c r="H89" s="22">
        <f>[1]Input_monitoring_data!X85</f>
        <v>2011</v>
      </c>
      <c r="I89" s="21" t="str">
        <f>[1]Input_monitoring_data!AB85</f>
        <v>Borehole redevelopment</v>
      </c>
      <c r="J89" s="21">
        <f>[1]Input_monitoring_data!AC85</f>
        <v>0</v>
      </c>
      <c r="K89" s="23" t="str">
        <f>[1]Input_monitoring_data!W85</f>
        <v>AfriDev</v>
      </c>
      <c r="L89" s="22">
        <f>[1]Input_monitoring_data!X85</f>
        <v>2011</v>
      </c>
      <c r="M89" s="21">
        <f>IF([1]Input_monitoring_data!BL85&gt;'Point Sources_Asset_Register_'!L89,[1]Input_monitoring_data!BL85,"")</f>
        <v>2016</v>
      </c>
      <c r="N89" s="22" t="str">
        <f>[1]Input_monitoring_data!BQ85</f>
        <v>not functional</v>
      </c>
      <c r="O89" s="22" t="str">
        <f>[1]Input_monitoring_data!AJ85</f>
        <v>Water table too low (borehole dry)</v>
      </c>
      <c r="P89" s="23" t="s">
        <v>0</v>
      </c>
      <c r="Q89" s="22">
        <f>L89</f>
        <v>2011</v>
      </c>
      <c r="R89" s="21">
        <f>M89</f>
        <v>2016</v>
      </c>
      <c r="S89" s="20">
        <f>[1]Input_EUL_CRC_ERC!$B$17-Table1[[#This Row],[Year Installed_WL]]</f>
        <v>6</v>
      </c>
      <c r="T89" s="20">
        <f>[1]Input_EUL_CRC_ERC!$B$17-(IF(Table1[[#This Row],[Year Last_Rehab_WL ]]=0,Table1[[#This Row],[Year Installed_WL]],[1]Input_EUL_CRC_ERC!$B$17-Table1[[#This Row],[Year Last_Rehab_WL ]]))</f>
        <v>6</v>
      </c>
      <c r="U89" s="20">
        <f>(VLOOKUP(Table1[[#This Row],[Item_Rehab_WL]],[1]Input_EUL_CRC_ERC!$C$17:$E$27,2,FALSE)-Table1[[#This Row],[Last Rehab Age]])</f>
        <v>9</v>
      </c>
      <c r="V89" s="19">
        <f>[1]Input_EUL_CRC_ERC!$B$17-Table1[[#This Row],[Year Installed_HP]]</f>
        <v>6</v>
      </c>
      <c r="W89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89" s="19">
        <f>[1]Input_EUL_CRC_ERC!$B$17-Table1[[#This Row],[Year Installed_PF]]</f>
        <v>6</v>
      </c>
      <c r="Y89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89" s="25">
        <f>IF(Table1[[#This Row],[Years_Next_Rehab_Well]]&lt;=0,VLOOKUP(Table1[[#This Row],[Item_Rehab_WL]],[1]!Table2[#All],3,FALSE),0)</f>
        <v>0</v>
      </c>
      <c r="AA89" s="18">
        <f>IF(Table1[[#This Row],[Adjusted_ULife_HP]]&lt;=0,VLOOKUP(Table1[[#This Row],[Item_Handpump]],[1]!Table2[#All],3,FALSE),0)</f>
        <v>0</v>
      </c>
      <c r="AB89" s="18">
        <f>IF(Table1[[#This Row],[Adjusted_ULife_PF]]&lt;=0,VLOOKUP(Table1[[#This Row],[Item_Platform]],[1]!Table2[#All],3,FALSE),0)</f>
        <v>0</v>
      </c>
      <c r="AC89" s="18">
        <f>SUM(Table1[[#This Row],[current yr_wl]:[current yr_pf]])</f>
        <v>0</v>
      </c>
      <c r="AD89" s="25">
        <f>IF(Table1[[#This Row],[Years_Next_Rehab_Well]]=1,VLOOKUP(Table1[[#This Row],[Item_Rehab_WL]],[1]!Table2[#All],4,FALSE),0)</f>
        <v>0</v>
      </c>
      <c r="AE89" s="25">
        <f>IF(Table1[[#This Row],[Adjusted_ULife_HP]]=1,VLOOKUP(Table1[[#This Row],[Item_Handpump]],[1]!Table2[#All],4,FALSE),0)</f>
        <v>0</v>
      </c>
      <c r="AF89" s="25">
        <f>IF(Table1[[#This Row],[Adjusted_ULife_PF]]=1,VLOOKUP(Table1[[#This Row],[Item_Platform]],[1]!Table2[#All],4,FALSE),0)</f>
        <v>0</v>
      </c>
      <c r="AG89" s="25">
        <f>SUM(Table1[[#This Row],[yr 1_wl]:[yr 1_pf]])</f>
        <v>0</v>
      </c>
      <c r="AH89" s="25">
        <f>IF(Table1[[#This Row],[Years_Next_Rehab_Well]]=2,VLOOKUP(Table1[[#This Row],[Item_Rehab_WL]],[1]!Table2[#All],5,FALSE),0)</f>
        <v>0</v>
      </c>
      <c r="AI89" s="25">
        <f>IF(Table1[[#This Row],[Adjusted_ULife_HP]]=2,VLOOKUP(Table1[[#This Row],[Item_Handpump]],[1]!Table2[#All],5,FALSE),0)</f>
        <v>0</v>
      </c>
      <c r="AJ89" s="25">
        <f>IF(Table1[[#This Row],[Adjusted_ULife_PF]]=2,VLOOKUP(Table1[[#This Row],[Item_Platform]],[1]!Table2[#All],5,FALSE),0)</f>
        <v>0</v>
      </c>
      <c r="AK89" s="25">
        <f>SUM(Table1[[#This Row],[yr 2_wl]:[yr 2_pf]])</f>
        <v>0</v>
      </c>
      <c r="AL89" s="25">
        <f>IF(Table1[[#This Row],[Years_Next_Rehab_Well]]=3,VLOOKUP(Table1[[#This Row],[Item_Rehab_WL]],[1]!Table2[#All],6,FALSE),0)</f>
        <v>0</v>
      </c>
      <c r="AM89" s="25">
        <f>IF(Table1[[#This Row],[Adjusted_ULife_HP]]=3,VLOOKUP(Table1[[#This Row],[Item_Handpump]],[1]!Table2[#All],6,FALSE),0)</f>
        <v>0</v>
      </c>
      <c r="AN89" s="25">
        <f>IF(Table1[[#This Row],[Adjusted_ULife_PF]]=3,VLOOKUP(Table1[[#This Row],[Item_Platform]],[1]!Table2[#All],6,FALSE),0)</f>
        <v>0</v>
      </c>
      <c r="AO89" s="25">
        <f>SUM(Table1[[#This Row],[yr 3_wl]:[yr 3_pf]])</f>
        <v>0</v>
      </c>
      <c r="AP89" s="25">
        <f>IF(Table1[[#This Row],[Years_Next_Rehab_Well]]=4,VLOOKUP(Table1[[#This Row],[Item_Rehab_WL]],[1]!Table2[#All],7,FALSE),0)</f>
        <v>0</v>
      </c>
      <c r="AQ89" s="25">
        <f>IF(Table1[[#This Row],[Adjusted_ULife_HP]]=4,VLOOKUP(Table1[[#This Row],[Item_Handpump]],[1]!Table2[#All],7,FALSE),0)</f>
        <v>0</v>
      </c>
      <c r="AR89" s="25">
        <f>IF(Table1[[#This Row],[Adjusted_ULife_PF]]=4,VLOOKUP(Table1[[#This Row],[Item_Platform]],[1]!Table2[#All],7,FALSE),0)</f>
        <v>0</v>
      </c>
      <c r="AS89" s="25">
        <f>SUM(Table1[[#This Row],[yr 4_wl]:[yr 4_pf]])</f>
        <v>0</v>
      </c>
      <c r="AT89" s="25">
        <f>IF(Table1[[#This Row],[Years_Next_Rehab_Well]]=5,VLOOKUP(Table1[[#This Row],[Item_Rehab_WL]],[1]!Table2[#All],8,FALSE),0)</f>
        <v>0</v>
      </c>
      <c r="AU89" s="25">
        <f>IF(Table1[[#This Row],[Adjusted_ULife_HP]]=5,VLOOKUP(Table1[[#This Row],[Item_Handpump]],[1]!Table2[#All],8,FALSE),0)</f>
        <v>0</v>
      </c>
      <c r="AV89" s="25">
        <f>IF(Table1[[#This Row],[Adjusted_ULife_PF]]=5,VLOOKUP(Table1[[#This Row],[Item_Platform]],[1]!Table2[#All],8,FALSE),0)</f>
        <v>0</v>
      </c>
      <c r="AW89" s="25">
        <f>SUM(Table1[[#This Row],[yr 5_wl]:[yr 5_pf]])</f>
        <v>0</v>
      </c>
      <c r="AX89" s="25">
        <f>IF(Table1[[#This Row],[Years_Next_Rehab_Well]]=6,VLOOKUP(Table1[[#This Row],[Item_Rehab_WL]],[1]!Table2[#All],9,FALSE),0)</f>
        <v>0</v>
      </c>
      <c r="AY89" s="25">
        <f>IF(Table1[[#This Row],[Adjusted_ULife_HP]]=6,VLOOKUP(Table1[[#This Row],[Item_Handpump]],[1]!Table2[#All],9,FALSE),0)</f>
        <v>0</v>
      </c>
      <c r="AZ89" s="25">
        <f>IF(Table1[[#This Row],[Adjusted_ULife_PF]]=6,VLOOKUP(Table1[[#This Row],[Item_Platform]],[1]!Table2[#All],9,FALSE),0)</f>
        <v>0</v>
      </c>
      <c r="BA89" s="25">
        <f>SUM(Table1[[#This Row],[yr 6_wl]:[yr 6_pf]])</f>
        <v>0</v>
      </c>
      <c r="BB89" s="25">
        <f>IF(Table1[[#This Row],[Years_Next_Rehab_Well]]=7,VLOOKUP(Table1[[#This Row],[Item_Rehab_WL]],[1]!Table2[#All],10,FALSE),0)</f>
        <v>0</v>
      </c>
      <c r="BC89" s="25">
        <f>IF(Table1[[#This Row],[Adjusted_ULife_HP]]=7,VLOOKUP(Table1[[#This Row],[Item_Handpump]],[1]!Table2[#All],10,FALSE),0)</f>
        <v>0</v>
      </c>
      <c r="BD89" s="25">
        <f>IF(Table1[[#This Row],[Adjusted_ULife_PF]]=7,VLOOKUP(Table1[[#This Row],[Item_Platform]],[1]!Table2[#All],10,FALSE),0)</f>
        <v>0</v>
      </c>
      <c r="BE89" s="25">
        <f>SUM(Table1[[#This Row],[yr 7_wl]:[yr 7_pf]])</f>
        <v>0</v>
      </c>
      <c r="BF89" s="25">
        <f>IF(Table1[[#This Row],[Years_Next_Rehab_Well]]=8,VLOOKUP(Table1[[#This Row],[Item_Rehab_WL]],[1]!Table2[#All],11,FALSE),0)</f>
        <v>0</v>
      </c>
      <c r="BG89" s="25">
        <f>IF(Table1[[#This Row],[Adjusted_ULife_HP]]=8,VLOOKUP(Table1[[#This Row],[Item_Handpump]],[1]!Table2[#All],11,FALSE),0)</f>
        <v>0</v>
      </c>
      <c r="BH89" s="25">
        <f>IF(Table1[[#This Row],[Adjusted_ULife_PF]]=8,VLOOKUP(Table1[[#This Row],[Item_Platform]],[1]!Table2[#All],11,FALSE),0)</f>
        <v>0</v>
      </c>
      <c r="BI89" s="25">
        <f>SUM(Table1[[#This Row],[yr 8_wl]:[yr 8_pf]])</f>
        <v>0</v>
      </c>
      <c r="BJ89" s="25">
        <f>IF(Table1[[#This Row],[Years_Next_Rehab_Well]]=9,VLOOKUP(Table1[[#This Row],[Item_Rehab_WL]],[1]!Table2[#All],12,FALSE),0)</f>
        <v>10167.955443984027</v>
      </c>
      <c r="BK89" s="25">
        <f>IF(Table1[[#This Row],[Adjusted_ULife_HP]]=9,VLOOKUP(Table1[[#This Row],[Item_Handpump]],[1]!Table2[#All],12,FALSE),0)</f>
        <v>0</v>
      </c>
      <c r="BL89" s="25">
        <f>IF(Table1[[#This Row],[Adjusted_ULife_PF]]=9,VLOOKUP(Table1[[#This Row],[Item_Platform]],[1]!Table2[#All],12,FALSE),0)</f>
        <v>4159.6181361752842</v>
      </c>
      <c r="BM89" s="25">
        <f>SUM(Table1[[#This Row],[yr 9_wl]:[yr 9_pf]])</f>
        <v>14327.573580159311</v>
      </c>
      <c r="BN89" s="25">
        <f>IF(Table1[[#This Row],[Years_Next_Rehab_Well]]=10,VLOOKUP(Table1[[#This Row],[Item_Rehab_WL]],[1]!Table2[#All],13,FALSE),0)</f>
        <v>0</v>
      </c>
      <c r="BO89" s="25">
        <f>IF(Table1[[#This Row],[Adjusted_ULife_HP]]=10,VLOOKUP(Table1[[#This Row],[Item_Handpump]],[1]!Table2[#All],13,FALSE),0)</f>
        <v>0</v>
      </c>
      <c r="BP89" s="25">
        <f>IF(Table1[[#This Row],[Adjusted_ULife_PF]]=10,VLOOKUP(Table1[[#This Row],[Item_Platform]],[1]!Table2[#All],13,FALSE),0)</f>
        <v>0</v>
      </c>
      <c r="BQ89" s="25">
        <f>SUM(Table1[[#This Row],[yr 10_wl]:[yr 10_pf]])</f>
        <v>0</v>
      </c>
      <c r="BR89" s="25">
        <f>IF(Table1[[#This Row],[Years_Next_Rehab_Well]]=11,VLOOKUP(Table1[[#This Row],[Item_Rehab_WL]],[1]!Table2[#All],14,FALSE),0)</f>
        <v>0</v>
      </c>
      <c r="BS89" s="25">
        <f>IF(Table1[[#This Row],[Adjusted_ULife_HP]]=11,VLOOKUP(Table1[[#This Row],[Item_Handpump]],[1]!Table2[#All],14,FALSE),0)</f>
        <v>0</v>
      </c>
      <c r="BT89" s="25">
        <f>IF(Table1[[#This Row],[Adjusted_ULife_PF]]=11,VLOOKUP(Table1[[#This Row],[Item_Platform]],[1]!Table2[#All],14,FALSE),0)</f>
        <v>0</v>
      </c>
      <c r="BU89" s="25">
        <f>SUM(Table1[[#This Row],[yr 11_wl]:[yr 11_pf]])</f>
        <v>0</v>
      </c>
      <c r="BV89" s="25">
        <f>IF(Table1[[#This Row],[Years_Next_Rehab_Well]]=12,VLOOKUP(Table1[[#This Row],[Item_Rehab_WL]],[1]!Table2[#All],15,FALSE),0)</f>
        <v>0</v>
      </c>
      <c r="BW89" s="25">
        <f>IF(Table1[[#This Row],[Adjusted_ULife_HP]]=12,VLOOKUP(Table1[[#This Row],[Item_Handpump]],[1]!Table2[#All],15,FALSE),0)</f>
        <v>0</v>
      </c>
      <c r="BX89" s="25">
        <f>IF(Table1[[#This Row],[Adjusted_ULife_PF]]=12,VLOOKUP(Table1[[#This Row],[Item_Platform]],[1]!Table2[#All],15,FALSE),0)</f>
        <v>0</v>
      </c>
      <c r="BY89" s="25">
        <f>SUM(Table1[[#This Row],[yr 12_wl]:[yr 12_pf]])</f>
        <v>0</v>
      </c>
      <c r="BZ89" s="25">
        <f>IF(Table1[[#This Row],[Years_Next_Rehab_Well]]=13,VLOOKUP(Table1[[#This Row],[Item_Rehab_WL]],[1]!Table2[#All],16,FALSE),0)</f>
        <v>0</v>
      </c>
      <c r="CA89" s="25">
        <f>IF(Table1[[#This Row],[Adjusted_ULife_HP]]=13,VLOOKUP(Table1[[#This Row],[Item_Handpump]],[1]!Table2[#All],16,FALSE),0)</f>
        <v>0</v>
      </c>
      <c r="CB89" s="25">
        <f>IF(Table1[[#This Row],[Adjusted_ULife_PF]]=13,VLOOKUP(Table1[[#This Row],[Item_Platform]],[1]!Table2[#All],16,FALSE),0)</f>
        <v>0</v>
      </c>
      <c r="CC89" s="25">
        <f>SUM(Table1[[#This Row],[yr 13_wl]:[yr 13_pf]])</f>
        <v>0</v>
      </c>
      <c r="CD89" s="12"/>
    </row>
    <row r="90" spans="1:82" s="11" customFormat="1" x14ac:dyDescent="0.25">
      <c r="A90" s="11" t="str">
        <f>IF([1]Input_monitoring_data!A86="","",[1]Input_monitoring_data!A86)</f>
        <v>fgvh-jr14-7h71</v>
      </c>
      <c r="B90" s="22" t="str">
        <f>[1]Input_monitoring_data!BH86</f>
        <v>Goamu</v>
      </c>
      <c r="C90" s="22" t="str">
        <f>[1]Input_monitoring_data!BI86</f>
        <v>Goamu Camp</v>
      </c>
      <c r="D90" s="22" t="str">
        <f>[1]Input_monitoring_data!P86</f>
        <v>7.038984995759546</v>
      </c>
      <c r="E90" s="22" t="str">
        <f>[1]Input_monitoring_data!Q86</f>
        <v>-2.5110708457400834</v>
      </c>
      <c r="F90" s="22" t="str">
        <f>[1]Input_monitoring_data!V86</f>
        <v>Near Kwame Fosu's House</v>
      </c>
      <c r="G90" s="23" t="str">
        <f>[1]Input_monitoring_data!U86</f>
        <v>Borehole</v>
      </c>
      <c r="H90" s="22">
        <f>[1]Input_monitoring_data!X86</f>
        <v>1985</v>
      </c>
      <c r="I90" s="21" t="str">
        <f>[1]Input_monitoring_data!AB86</f>
        <v>Borehole redevelopment</v>
      </c>
      <c r="J90" s="21">
        <f>[1]Input_monitoring_data!AC86</f>
        <v>0</v>
      </c>
      <c r="K90" s="23" t="str">
        <f>[1]Input_monitoring_data!W86</f>
        <v>Ghana modified India Mark II</v>
      </c>
      <c r="L90" s="22">
        <f>[1]Input_monitoring_data!X86</f>
        <v>1985</v>
      </c>
      <c r="M90" s="21">
        <f>IF([1]Input_monitoring_data!BL86&gt;'Point Sources_Asset_Register_'!L90,[1]Input_monitoring_data!BL86,"")</f>
        <v>2013</v>
      </c>
      <c r="N90" s="22" t="str">
        <f>[1]Input_monitoring_data!BQ86</f>
        <v>functional</v>
      </c>
      <c r="O90" s="22">
        <f>[1]Input_monitoring_data!AJ86</f>
        <v>0</v>
      </c>
      <c r="P90" s="23" t="s">
        <v>0</v>
      </c>
      <c r="Q90" s="22">
        <f>L90</f>
        <v>1985</v>
      </c>
      <c r="R90" s="21">
        <f>M90</f>
        <v>2013</v>
      </c>
      <c r="S90" s="20">
        <f>[1]Input_EUL_CRC_ERC!$B$17-Table1[[#This Row],[Year Installed_WL]]</f>
        <v>32</v>
      </c>
      <c r="T90" s="20">
        <f>[1]Input_EUL_CRC_ERC!$B$17-(IF(Table1[[#This Row],[Year Last_Rehab_WL ]]=0,Table1[[#This Row],[Year Installed_WL]],[1]Input_EUL_CRC_ERC!$B$17-Table1[[#This Row],[Year Last_Rehab_WL ]]))</f>
        <v>32</v>
      </c>
      <c r="U90" s="20">
        <f>(VLOOKUP(Table1[[#This Row],[Item_Rehab_WL]],[1]Input_EUL_CRC_ERC!$C$17:$E$27,2,FALSE)-Table1[[#This Row],[Last Rehab Age]])</f>
        <v>-17</v>
      </c>
      <c r="V90" s="19">
        <f>[1]Input_EUL_CRC_ERC!$B$17-Table1[[#This Row],[Year Installed_HP]]</f>
        <v>32</v>
      </c>
      <c r="W90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90" s="19">
        <f>[1]Input_EUL_CRC_ERC!$B$17-Table1[[#This Row],[Year Installed_PF]]</f>
        <v>32</v>
      </c>
      <c r="Y90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90" s="25">
        <f>IF(Table1[[#This Row],[Years_Next_Rehab_Well]]&lt;=0,VLOOKUP(Table1[[#This Row],[Item_Rehab_WL]],[1]!Table2[#All],3,FALSE),0)</f>
        <v>3666.6666666666665</v>
      </c>
      <c r="AA90" s="18">
        <f>IF(Table1[[#This Row],[Adjusted_ULife_HP]]&lt;=0,VLOOKUP(Table1[[#This Row],[Item_Handpump]],[1]!Table2[#All],3,FALSE),0)</f>
        <v>0</v>
      </c>
      <c r="AB90" s="18">
        <f>IF(Table1[[#This Row],[Adjusted_ULife_PF]]&lt;=0,VLOOKUP(Table1[[#This Row],[Item_Platform]],[1]!Table2[#All],3,FALSE),0)</f>
        <v>0</v>
      </c>
      <c r="AC90" s="18">
        <f>SUM(Table1[[#This Row],[current yr_wl]:[current yr_pf]])</f>
        <v>3666.6666666666665</v>
      </c>
      <c r="AD90" s="25">
        <f>IF(Table1[[#This Row],[Years_Next_Rehab_Well]]=1,VLOOKUP(Table1[[#This Row],[Item_Rehab_WL]],[1]!Table2[#All],4,FALSE),0)</f>
        <v>0</v>
      </c>
      <c r="AE90" s="25">
        <f>IF(Table1[[#This Row],[Adjusted_ULife_HP]]=1,VLOOKUP(Table1[[#This Row],[Item_Handpump]],[1]!Table2[#All],4,FALSE),0)</f>
        <v>0</v>
      </c>
      <c r="AF90" s="25">
        <f>IF(Table1[[#This Row],[Adjusted_ULife_PF]]=1,VLOOKUP(Table1[[#This Row],[Item_Platform]],[1]!Table2[#All],4,FALSE),0)</f>
        <v>0</v>
      </c>
      <c r="AG90" s="25">
        <f>SUM(Table1[[#This Row],[yr 1_wl]:[yr 1_pf]])</f>
        <v>0</v>
      </c>
      <c r="AH90" s="25">
        <f>IF(Table1[[#This Row],[Years_Next_Rehab_Well]]=2,VLOOKUP(Table1[[#This Row],[Item_Rehab_WL]],[1]!Table2[#All],5,FALSE),0)</f>
        <v>0</v>
      </c>
      <c r="AI90" s="25">
        <f>IF(Table1[[#This Row],[Adjusted_ULife_HP]]=2,VLOOKUP(Table1[[#This Row],[Item_Handpump]],[1]!Table2[#All],5,FALSE),0)</f>
        <v>0</v>
      </c>
      <c r="AJ90" s="25">
        <f>IF(Table1[[#This Row],[Adjusted_ULife_PF]]=2,VLOOKUP(Table1[[#This Row],[Item_Platform]],[1]!Table2[#All],5,FALSE),0)</f>
        <v>0</v>
      </c>
      <c r="AK90" s="25">
        <f>SUM(Table1[[#This Row],[yr 2_wl]:[yr 2_pf]])</f>
        <v>0</v>
      </c>
      <c r="AL90" s="25">
        <f>IF(Table1[[#This Row],[Years_Next_Rehab_Well]]=3,VLOOKUP(Table1[[#This Row],[Item_Rehab_WL]],[1]!Table2[#All],6,FALSE),0)</f>
        <v>0</v>
      </c>
      <c r="AM90" s="25">
        <f>IF(Table1[[#This Row],[Adjusted_ULife_HP]]=3,VLOOKUP(Table1[[#This Row],[Item_Handpump]],[1]!Table2[#All],6,FALSE),0)</f>
        <v>0</v>
      </c>
      <c r="AN90" s="25">
        <f>IF(Table1[[#This Row],[Adjusted_ULife_PF]]=3,VLOOKUP(Table1[[#This Row],[Item_Platform]],[1]!Table2[#All],6,FALSE),0)</f>
        <v>0</v>
      </c>
      <c r="AO90" s="25">
        <f>SUM(Table1[[#This Row],[yr 3_wl]:[yr 3_pf]])</f>
        <v>0</v>
      </c>
      <c r="AP90" s="25">
        <f>IF(Table1[[#This Row],[Years_Next_Rehab_Well]]=4,VLOOKUP(Table1[[#This Row],[Item_Rehab_WL]],[1]!Table2[#All],7,FALSE),0)</f>
        <v>0</v>
      </c>
      <c r="AQ90" s="25">
        <f>IF(Table1[[#This Row],[Adjusted_ULife_HP]]=4,VLOOKUP(Table1[[#This Row],[Item_Handpump]],[1]!Table2[#All],7,FALSE),0)</f>
        <v>0</v>
      </c>
      <c r="AR90" s="25">
        <f>IF(Table1[[#This Row],[Adjusted_ULife_PF]]=4,VLOOKUP(Table1[[#This Row],[Item_Platform]],[1]!Table2[#All],7,FALSE),0)</f>
        <v>0</v>
      </c>
      <c r="AS90" s="25">
        <f>SUM(Table1[[#This Row],[yr 4_wl]:[yr 4_pf]])</f>
        <v>0</v>
      </c>
      <c r="AT90" s="25">
        <f>IF(Table1[[#This Row],[Years_Next_Rehab_Well]]=5,VLOOKUP(Table1[[#This Row],[Item_Rehab_WL]],[1]!Table2[#All],8,FALSE),0)</f>
        <v>0</v>
      </c>
      <c r="AU90" s="25">
        <f>IF(Table1[[#This Row],[Adjusted_ULife_HP]]=5,VLOOKUP(Table1[[#This Row],[Item_Handpump]],[1]!Table2[#All],8,FALSE),0)</f>
        <v>0</v>
      </c>
      <c r="AV90" s="25">
        <f>IF(Table1[[#This Row],[Adjusted_ULife_PF]]=5,VLOOKUP(Table1[[#This Row],[Item_Platform]],[1]!Table2[#All],8,FALSE),0)</f>
        <v>0</v>
      </c>
      <c r="AW90" s="25">
        <f>SUM(Table1[[#This Row],[yr 5_wl]:[yr 5_pf]])</f>
        <v>0</v>
      </c>
      <c r="AX90" s="25">
        <f>IF(Table1[[#This Row],[Years_Next_Rehab_Well]]=6,VLOOKUP(Table1[[#This Row],[Item_Rehab_WL]],[1]!Table2[#All],9,FALSE),0)</f>
        <v>0</v>
      </c>
      <c r="AY90" s="25">
        <f>IF(Table1[[#This Row],[Adjusted_ULife_HP]]=6,VLOOKUP(Table1[[#This Row],[Item_Handpump]],[1]!Table2[#All],9,FALSE),0)</f>
        <v>0</v>
      </c>
      <c r="AZ90" s="25">
        <f>IF(Table1[[#This Row],[Adjusted_ULife_PF]]=6,VLOOKUP(Table1[[#This Row],[Item_Platform]],[1]!Table2[#All],9,FALSE),0)</f>
        <v>2960.7340277760022</v>
      </c>
      <c r="BA90" s="25">
        <f>SUM(Table1[[#This Row],[yr 6_wl]:[yr 6_pf]])</f>
        <v>2960.7340277760022</v>
      </c>
      <c r="BB90" s="25">
        <f>IF(Table1[[#This Row],[Years_Next_Rehab_Well]]=7,VLOOKUP(Table1[[#This Row],[Item_Rehab_WL]],[1]!Table2[#All],10,FALSE),0)</f>
        <v>0</v>
      </c>
      <c r="BC90" s="25">
        <f>IF(Table1[[#This Row],[Adjusted_ULife_HP]]=7,VLOOKUP(Table1[[#This Row],[Item_Handpump]],[1]!Table2[#All],10,FALSE),0)</f>
        <v>0</v>
      </c>
      <c r="BD90" s="25">
        <f>IF(Table1[[#This Row],[Adjusted_ULife_PF]]=7,VLOOKUP(Table1[[#This Row],[Item_Platform]],[1]!Table2[#All],10,FALSE),0)</f>
        <v>0</v>
      </c>
      <c r="BE90" s="25">
        <f>SUM(Table1[[#This Row],[yr 7_wl]:[yr 7_pf]])</f>
        <v>0</v>
      </c>
      <c r="BF90" s="25">
        <f>IF(Table1[[#This Row],[Years_Next_Rehab_Well]]=8,VLOOKUP(Table1[[#This Row],[Item_Rehab_WL]],[1]!Table2[#All],11,FALSE),0)</f>
        <v>0</v>
      </c>
      <c r="BG90" s="25">
        <f>IF(Table1[[#This Row],[Adjusted_ULife_HP]]=8,VLOOKUP(Table1[[#This Row],[Item_Handpump]],[1]!Table2[#All],11,FALSE),0)</f>
        <v>0</v>
      </c>
      <c r="BH90" s="25">
        <f>IF(Table1[[#This Row],[Adjusted_ULife_PF]]=8,VLOOKUP(Table1[[#This Row],[Item_Platform]],[1]!Table2[#All],11,FALSE),0)</f>
        <v>0</v>
      </c>
      <c r="BI90" s="25">
        <f>SUM(Table1[[#This Row],[yr 8_wl]:[yr 8_pf]])</f>
        <v>0</v>
      </c>
      <c r="BJ90" s="25">
        <f>IF(Table1[[#This Row],[Years_Next_Rehab_Well]]=9,VLOOKUP(Table1[[#This Row],[Item_Rehab_WL]],[1]!Table2[#All],12,FALSE),0)</f>
        <v>0</v>
      </c>
      <c r="BK90" s="25">
        <f>IF(Table1[[#This Row],[Adjusted_ULife_HP]]=9,VLOOKUP(Table1[[#This Row],[Item_Handpump]],[1]!Table2[#All],12,FALSE),0)</f>
        <v>0</v>
      </c>
      <c r="BL90" s="25">
        <f>IF(Table1[[#This Row],[Adjusted_ULife_PF]]=9,VLOOKUP(Table1[[#This Row],[Item_Platform]],[1]!Table2[#All],12,FALSE),0)</f>
        <v>0</v>
      </c>
      <c r="BM90" s="25">
        <f>SUM(Table1[[#This Row],[yr 9_wl]:[yr 9_pf]])</f>
        <v>0</v>
      </c>
      <c r="BN90" s="25">
        <f>IF(Table1[[#This Row],[Years_Next_Rehab_Well]]=10,VLOOKUP(Table1[[#This Row],[Item_Rehab_WL]],[1]!Table2[#All],13,FALSE),0)</f>
        <v>0</v>
      </c>
      <c r="BO90" s="25">
        <f>IF(Table1[[#This Row],[Adjusted_ULife_HP]]=10,VLOOKUP(Table1[[#This Row],[Item_Handpump]],[1]!Table2[#All],13,FALSE),0)</f>
        <v>0</v>
      </c>
      <c r="BP90" s="25">
        <f>IF(Table1[[#This Row],[Adjusted_ULife_PF]]=10,VLOOKUP(Table1[[#This Row],[Item_Platform]],[1]!Table2[#All],13,FALSE),0)</f>
        <v>0</v>
      </c>
      <c r="BQ90" s="25">
        <f>SUM(Table1[[#This Row],[yr 10_wl]:[yr 10_pf]])</f>
        <v>0</v>
      </c>
      <c r="BR90" s="25">
        <f>IF(Table1[[#This Row],[Years_Next_Rehab_Well]]=11,VLOOKUP(Table1[[#This Row],[Item_Rehab_WL]],[1]!Table2[#All],14,FALSE),0)</f>
        <v>0</v>
      </c>
      <c r="BS90" s="25">
        <f>IF(Table1[[#This Row],[Adjusted_ULife_HP]]=11,VLOOKUP(Table1[[#This Row],[Item_Handpump]],[1]!Table2[#All],14,FALSE),0)</f>
        <v>0</v>
      </c>
      <c r="BT90" s="25">
        <f>IF(Table1[[#This Row],[Adjusted_ULife_PF]]=11,VLOOKUP(Table1[[#This Row],[Item_Platform]],[1]!Table2[#All],14,FALSE),0)</f>
        <v>0</v>
      </c>
      <c r="BU90" s="25">
        <f>SUM(Table1[[#This Row],[yr 11_wl]:[yr 11_pf]])</f>
        <v>0</v>
      </c>
      <c r="BV90" s="25">
        <f>IF(Table1[[#This Row],[Years_Next_Rehab_Well]]=12,VLOOKUP(Table1[[#This Row],[Item_Rehab_WL]],[1]!Table2[#All],15,FALSE),0)</f>
        <v>0</v>
      </c>
      <c r="BW90" s="25">
        <f>IF(Table1[[#This Row],[Adjusted_ULife_HP]]=12,VLOOKUP(Table1[[#This Row],[Item_Handpump]],[1]!Table2[#All],15,FALSE),0)</f>
        <v>0</v>
      </c>
      <c r="BX90" s="25">
        <f>IF(Table1[[#This Row],[Adjusted_ULife_PF]]=12,VLOOKUP(Table1[[#This Row],[Item_Platform]],[1]!Table2[#All],15,FALSE),0)</f>
        <v>0</v>
      </c>
      <c r="BY90" s="25">
        <f>SUM(Table1[[#This Row],[yr 12_wl]:[yr 12_pf]])</f>
        <v>0</v>
      </c>
      <c r="BZ90" s="25">
        <f>IF(Table1[[#This Row],[Years_Next_Rehab_Well]]=13,VLOOKUP(Table1[[#This Row],[Item_Rehab_WL]],[1]!Table2[#All],16,FALSE),0)</f>
        <v>0</v>
      </c>
      <c r="CA90" s="25">
        <f>IF(Table1[[#This Row],[Adjusted_ULife_HP]]=13,VLOOKUP(Table1[[#This Row],[Item_Handpump]],[1]!Table2[#All],16,FALSE),0)</f>
        <v>0</v>
      </c>
      <c r="CB90" s="25">
        <f>IF(Table1[[#This Row],[Adjusted_ULife_PF]]=13,VLOOKUP(Table1[[#This Row],[Item_Platform]],[1]!Table2[#All],16,FALSE),0)</f>
        <v>0</v>
      </c>
      <c r="CC90" s="25">
        <f>SUM(Table1[[#This Row],[yr 13_wl]:[yr 13_pf]])</f>
        <v>0</v>
      </c>
      <c r="CD90" s="12"/>
    </row>
    <row r="91" spans="1:82" s="11" customFormat="1" x14ac:dyDescent="0.25">
      <c r="A91" s="11" t="str">
        <f>IF([1]Input_monitoring_data!A87="","",[1]Input_monitoring_data!A87)</f>
        <v>fxwy-vtwu-h1u3</v>
      </c>
      <c r="B91" s="22" t="str">
        <f>[1]Input_monitoring_data!BH87</f>
        <v>GOAMU</v>
      </c>
      <c r="C91" s="22" t="str">
        <f>[1]Input_monitoring_data!BI87</f>
        <v>ABOAGYAA</v>
      </c>
      <c r="D91" s="22" t="str">
        <f>[1]Input_monitoring_data!P87</f>
        <v>6.977501005329981</v>
      </c>
      <c r="E91" s="22" t="str">
        <f>[1]Input_monitoring_data!Q87</f>
        <v>-2.5623905234715796</v>
      </c>
      <c r="F91" s="22" t="str">
        <f>[1]Input_monitoring_data!V87</f>
        <v>within osei Joseph's  cocoa farm in Oseikrom along abogyaa Road</v>
      </c>
      <c r="G91" s="23" t="str">
        <f>[1]Input_monitoring_data!U87</f>
        <v>Borehole</v>
      </c>
      <c r="H91" s="22">
        <f>[1]Input_monitoring_data!X87</f>
        <v>2012</v>
      </c>
      <c r="I91" s="21" t="str">
        <f>[1]Input_monitoring_data!AB87</f>
        <v>Borehole redevelopment</v>
      </c>
      <c r="J91" s="21">
        <f>[1]Input_monitoring_data!AC87</f>
        <v>0</v>
      </c>
      <c r="K91" s="23" t="str">
        <f>[1]Input_monitoring_data!W87</f>
        <v>Nira AF-85</v>
      </c>
      <c r="L91" s="22">
        <f>[1]Input_monitoring_data!X87</f>
        <v>2012</v>
      </c>
      <c r="M91" s="21" t="str">
        <f>IF([1]Input_monitoring_data!BL87&gt;'Point Sources_Asset_Register_'!L91,[1]Input_monitoring_data!BL87,"")</f>
        <v/>
      </c>
      <c r="N91" s="22" t="str">
        <f>[1]Input_monitoring_data!BQ87</f>
        <v>partially functional</v>
      </c>
      <c r="O91" s="22">
        <f>[1]Input_monitoring_data!AJ87</f>
        <v>0</v>
      </c>
      <c r="P91" s="23" t="s">
        <v>0</v>
      </c>
      <c r="Q91" s="22">
        <f>L91</f>
        <v>2012</v>
      </c>
      <c r="R91" s="21" t="str">
        <f>M91</f>
        <v/>
      </c>
      <c r="S91" s="20">
        <f>[1]Input_EUL_CRC_ERC!$B$17-Table1[[#This Row],[Year Installed_WL]]</f>
        <v>5</v>
      </c>
      <c r="T91" s="20">
        <f>[1]Input_EUL_CRC_ERC!$B$17-(IF(Table1[[#This Row],[Year Last_Rehab_WL ]]=0,Table1[[#This Row],[Year Installed_WL]],[1]Input_EUL_CRC_ERC!$B$17-Table1[[#This Row],[Year Last_Rehab_WL ]]))</f>
        <v>5</v>
      </c>
      <c r="U91" s="20">
        <f>(VLOOKUP(Table1[[#This Row],[Item_Rehab_WL]],[1]Input_EUL_CRC_ERC!$C$17:$E$27,2,FALSE)-Table1[[#This Row],[Last Rehab Age]])</f>
        <v>10</v>
      </c>
      <c r="V91" s="19">
        <f>[1]Input_EUL_CRC_ERC!$B$17-Table1[[#This Row],[Year Installed_HP]]</f>
        <v>5</v>
      </c>
      <c r="W91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91" s="19">
        <f>[1]Input_EUL_CRC_ERC!$B$17-Table1[[#This Row],[Year Installed_PF]]</f>
        <v>5</v>
      </c>
      <c r="Y91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91" s="25">
        <f>IF(Table1[[#This Row],[Years_Next_Rehab_Well]]&lt;=0,VLOOKUP(Table1[[#This Row],[Item_Rehab_WL]],[1]!Table2[#All],3,FALSE),0)</f>
        <v>0</v>
      </c>
      <c r="AA91" s="18">
        <f>IF(Table1[[#This Row],[Adjusted_ULife_HP]]&lt;=0,VLOOKUP(Table1[[#This Row],[Item_Handpump]],[1]!Table2[#All],3,FALSE),0)</f>
        <v>0</v>
      </c>
      <c r="AB91" s="18">
        <f>IF(Table1[[#This Row],[Adjusted_ULife_PF]]&lt;=0,VLOOKUP(Table1[[#This Row],[Item_Platform]],[1]!Table2[#All],3,FALSE),0)</f>
        <v>0</v>
      </c>
      <c r="AC91" s="18">
        <f>SUM(Table1[[#This Row],[current yr_wl]:[current yr_pf]])</f>
        <v>0</v>
      </c>
      <c r="AD91" s="25">
        <f>IF(Table1[[#This Row],[Years_Next_Rehab_Well]]=1,VLOOKUP(Table1[[#This Row],[Item_Rehab_WL]],[1]!Table2[#All],4,FALSE),0)</f>
        <v>0</v>
      </c>
      <c r="AE91" s="25">
        <f>IF(Table1[[#This Row],[Adjusted_ULife_HP]]=1,VLOOKUP(Table1[[#This Row],[Item_Handpump]],[1]!Table2[#All],4,FALSE),0)</f>
        <v>0</v>
      </c>
      <c r="AF91" s="25">
        <f>IF(Table1[[#This Row],[Adjusted_ULife_PF]]=1,VLOOKUP(Table1[[#This Row],[Item_Platform]],[1]!Table2[#All],4,FALSE),0)</f>
        <v>0</v>
      </c>
      <c r="AG91" s="25">
        <f>SUM(Table1[[#This Row],[yr 1_wl]:[yr 1_pf]])</f>
        <v>0</v>
      </c>
      <c r="AH91" s="25">
        <f>IF(Table1[[#This Row],[Years_Next_Rehab_Well]]=2,VLOOKUP(Table1[[#This Row],[Item_Rehab_WL]],[1]!Table2[#All],5,FALSE),0)</f>
        <v>0</v>
      </c>
      <c r="AI91" s="25">
        <f>IF(Table1[[#This Row],[Adjusted_ULife_HP]]=2,VLOOKUP(Table1[[#This Row],[Item_Handpump]],[1]!Table2[#All],5,FALSE),0)</f>
        <v>0</v>
      </c>
      <c r="AJ91" s="25">
        <f>IF(Table1[[#This Row],[Adjusted_ULife_PF]]=2,VLOOKUP(Table1[[#This Row],[Item_Platform]],[1]!Table2[#All],5,FALSE),0)</f>
        <v>0</v>
      </c>
      <c r="AK91" s="25">
        <f>SUM(Table1[[#This Row],[yr 2_wl]:[yr 2_pf]])</f>
        <v>0</v>
      </c>
      <c r="AL91" s="25">
        <f>IF(Table1[[#This Row],[Years_Next_Rehab_Well]]=3,VLOOKUP(Table1[[#This Row],[Item_Rehab_WL]],[1]!Table2[#All],6,FALSE),0)</f>
        <v>0</v>
      </c>
      <c r="AM91" s="25">
        <f>IF(Table1[[#This Row],[Adjusted_ULife_HP]]=3,VLOOKUP(Table1[[#This Row],[Item_Handpump]],[1]!Table2[#All],6,FALSE),0)</f>
        <v>0</v>
      </c>
      <c r="AN91" s="25">
        <f>IF(Table1[[#This Row],[Adjusted_ULife_PF]]=3,VLOOKUP(Table1[[#This Row],[Item_Platform]],[1]!Table2[#All],6,FALSE),0)</f>
        <v>0</v>
      </c>
      <c r="AO91" s="25">
        <f>SUM(Table1[[#This Row],[yr 3_wl]:[yr 3_pf]])</f>
        <v>0</v>
      </c>
      <c r="AP91" s="25">
        <f>IF(Table1[[#This Row],[Years_Next_Rehab_Well]]=4,VLOOKUP(Table1[[#This Row],[Item_Rehab_WL]],[1]!Table2[#All],7,FALSE),0)</f>
        <v>0</v>
      </c>
      <c r="AQ91" s="25">
        <f>IF(Table1[[#This Row],[Adjusted_ULife_HP]]=4,VLOOKUP(Table1[[#This Row],[Item_Handpump]],[1]!Table2[#All],7,FALSE),0)</f>
        <v>0</v>
      </c>
      <c r="AR91" s="25">
        <f>IF(Table1[[#This Row],[Adjusted_ULife_PF]]=4,VLOOKUP(Table1[[#This Row],[Item_Platform]],[1]!Table2[#All],7,FALSE),0)</f>
        <v>0</v>
      </c>
      <c r="AS91" s="25">
        <f>SUM(Table1[[#This Row],[yr 4_wl]:[yr 4_pf]])</f>
        <v>0</v>
      </c>
      <c r="AT91" s="25">
        <f>IF(Table1[[#This Row],[Years_Next_Rehab_Well]]=5,VLOOKUP(Table1[[#This Row],[Item_Rehab_WL]],[1]!Table2[#All],8,FALSE),0)</f>
        <v>0</v>
      </c>
      <c r="AU91" s="25">
        <f>IF(Table1[[#This Row],[Adjusted_ULife_HP]]=5,VLOOKUP(Table1[[#This Row],[Item_Handpump]],[1]!Table2[#All],8,FALSE),0)</f>
        <v>0</v>
      </c>
      <c r="AV91" s="25">
        <f>IF(Table1[[#This Row],[Adjusted_ULife_PF]]=5,VLOOKUP(Table1[[#This Row],[Item_Platform]],[1]!Table2[#All],8,FALSE),0)</f>
        <v>2643.5125248000018</v>
      </c>
      <c r="AW91" s="25">
        <f>SUM(Table1[[#This Row],[yr 5_wl]:[yr 5_pf]])</f>
        <v>2643.5125248000018</v>
      </c>
      <c r="AX91" s="25">
        <f>IF(Table1[[#This Row],[Years_Next_Rehab_Well]]=6,VLOOKUP(Table1[[#This Row],[Item_Rehab_WL]],[1]!Table2[#All],9,FALSE),0)</f>
        <v>0</v>
      </c>
      <c r="AY91" s="25">
        <f>IF(Table1[[#This Row],[Adjusted_ULife_HP]]=6,VLOOKUP(Table1[[#This Row],[Item_Handpump]],[1]!Table2[#All],9,FALSE),0)</f>
        <v>0</v>
      </c>
      <c r="AZ91" s="25">
        <f>IF(Table1[[#This Row],[Adjusted_ULife_PF]]=6,VLOOKUP(Table1[[#This Row],[Item_Platform]],[1]!Table2[#All],9,FALSE),0)</f>
        <v>0</v>
      </c>
      <c r="BA91" s="25">
        <f>SUM(Table1[[#This Row],[yr 6_wl]:[yr 6_pf]])</f>
        <v>0</v>
      </c>
      <c r="BB91" s="25">
        <f>IF(Table1[[#This Row],[Years_Next_Rehab_Well]]=7,VLOOKUP(Table1[[#This Row],[Item_Rehab_WL]],[1]!Table2[#All],10,FALSE),0)</f>
        <v>0</v>
      </c>
      <c r="BC91" s="25">
        <f>IF(Table1[[#This Row],[Adjusted_ULife_HP]]=7,VLOOKUP(Table1[[#This Row],[Item_Handpump]],[1]!Table2[#All],10,FALSE),0)</f>
        <v>0</v>
      </c>
      <c r="BD91" s="25">
        <f>IF(Table1[[#This Row],[Adjusted_ULife_PF]]=7,VLOOKUP(Table1[[#This Row],[Item_Platform]],[1]!Table2[#All],10,FALSE),0)</f>
        <v>0</v>
      </c>
      <c r="BE91" s="25">
        <f>SUM(Table1[[#This Row],[yr 7_wl]:[yr 7_pf]])</f>
        <v>0</v>
      </c>
      <c r="BF91" s="25">
        <f>IF(Table1[[#This Row],[Years_Next_Rehab_Well]]=8,VLOOKUP(Table1[[#This Row],[Item_Rehab_WL]],[1]!Table2[#All],11,FALSE),0)</f>
        <v>0</v>
      </c>
      <c r="BG91" s="25">
        <f>IF(Table1[[#This Row],[Adjusted_ULife_HP]]=8,VLOOKUP(Table1[[#This Row],[Item_Handpump]],[1]!Table2[#All],11,FALSE),0)</f>
        <v>0</v>
      </c>
      <c r="BH91" s="25">
        <f>IF(Table1[[#This Row],[Adjusted_ULife_PF]]=8,VLOOKUP(Table1[[#This Row],[Item_Platform]],[1]!Table2[#All],11,FALSE),0)</f>
        <v>0</v>
      </c>
      <c r="BI91" s="25">
        <f>SUM(Table1[[#This Row],[yr 8_wl]:[yr 8_pf]])</f>
        <v>0</v>
      </c>
      <c r="BJ91" s="25">
        <f>IF(Table1[[#This Row],[Years_Next_Rehab_Well]]=9,VLOOKUP(Table1[[#This Row],[Item_Rehab_WL]],[1]!Table2[#All],12,FALSE),0)</f>
        <v>0</v>
      </c>
      <c r="BK91" s="25">
        <f>IF(Table1[[#This Row],[Adjusted_ULife_HP]]=9,VLOOKUP(Table1[[#This Row],[Item_Handpump]],[1]!Table2[#All],12,FALSE),0)</f>
        <v>0</v>
      </c>
      <c r="BL91" s="25">
        <f>IF(Table1[[#This Row],[Adjusted_ULife_PF]]=9,VLOOKUP(Table1[[#This Row],[Item_Platform]],[1]!Table2[#All],12,FALSE),0)</f>
        <v>0</v>
      </c>
      <c r="BM91" s="25">
        <f>SUM(Table1[[#This Row],[yr 9_wl]:[yr 9_pf]])</f>
        <v>0</v>
      </c>
      <c r="BN91" s="25">
        <f>IF(Table1[[#This Row],[Years_Next_Rehab_Well]]=10,VLOOKUP(Table1[[#This Row],[Item_Rehab_WL]],[1]!Table2[#All],13,FALSE),0)</f>
        <v>11388.110097262112</v>
      </c>
      <c r="BO91" s="25">
        <f>IF(Table1[[#This Row],[Adjusted_ULife_HP]]=10,VLOOKUP(Table1[[#This Row],[Item_Handpump]],[1]!Table2[#All],13,FALSE),0)</f>
        <v>0</v>
      </c>
      <c r="BP91" s="25">
        <f>IF(Table1[[#This Row],[Adjusted_ULife_PF]]=10,VLOOKUP(Table1[[#This Row],[Item_Platform]],[1]!Table2[#All],13,FALSE),0)</f>
        <v>0</v>
      </c>
      <c r="BQ91" s="25">
        <f>SUM(Table1[[#This Row],[yr 10_wl]:[yr 10_pf]])</f>
        <v>11388.110097262112</v>
      </c>
      <c r="BR91" s="25">
        <f>IF(Table1[[#This Row],[Years_Next_Rehab_Well]]=11,VLOOKUP(Table1[[#This Row],[Item_Rehab_WL]],[1]!Table2[#All],14,FALSE),0)</f>
        <v>0</v>
      </c>
      <c r="BS91" s="25">
        <f>IF(Table1[[#This Row],[Adjusted_ULife_HP]]=11,VLOOKUP(Table1[[#This Row],[Item_Handpump]],[1]!Table2[#All],14,FALSE),0)</f>
        <v>0</v>
      </c>
      <c r="BT91" s="25">
        <f>IF(Table1[[#This Row],[Adjusted_ULife_PF]]=11,VLOOKUP(Table1[[#This Row],[Item_Platform]],[1]!Table2[#All],14,FALSE),0)</f>
        <v>0</v>
      </c>
      <c r="BU91" s="25">
        <f>SUM(Table1[[#This Row],[yr 11_wl]:[yr 11_pf]])</f>
        <v>0</v>
      </c>
      <c r="BV91" s="25">
        <f>IF(Table1[[#This Row],[Years_Next_Rehab_Well]]=12,VLOOKUP(Table1[[#This Row],[Item_Rehab_WL]],[1]!Table2[#All],15,FALSE),0)</f>
        <v>0</v>
      </c>
      <c r="BW91" s="25">
        <f>IF(Table1[[#This Row],[Adjusted_ULife_HP]]=12,VLOOKUP(Table1[[#This Row],[Item_Handpump]],[1]!Table2[#All],15,FALSE),0)</f>
        <v>0</v>
      </c>
      <c r="BX91" s="25">
        <f>IF(Table1[[#This Row],[Adjusted_ULife_PF]]=12,VLOOKUP(Table1[[#This Row],[Item_Platform]],[1]!Table2[#All],15,FALSE),0)</f>
        <v>0</v>
      </c>
      <c r="BY91" s="25">
        <f>SUM(Table1[[#This Row],[yr 12_wl]:[yr 12_pf]])</f>
        <v>0</v>
      </c>
      <c r="BZ91" s="25">
        <f>IF(Table1[[#This Row],[Years_Next_Rehab_Well]]=13,VLOOKUP(Table1[[#This Row],[Item_Rehab_WL]],[1]!Table2[#All],16,FALSE),0)</f>
        <v>0</v>
      </c>
      <c r="CA91" s="25">
        <f>IF(Table1[[#This Row],[Adjusted_ULife_HP]]=13,VLOOKUP(Table1[[#This Row],[Item_Handpump]],[1]!Table2[#All],16,FALSE),0)</f>
        <v>0</v>
      </c>
      <c r="CB91" s="25">
        <f>IF(Table1[[#This Row],[Adjusted_ULife_PF]]=13,VLOOKUP(Table1[[#This Row],[Item_Platform]],[1]!Table2[#All],16,FALSE),0)</f>
        <v>0</v>
      </c>
      <c r="CC91" s="25">
        <f>SUM(Table1[[#This Row],[yr 13_wl]:[yr 13_pf]])</f>
        <v>0</v>
      </c>
      <c r="CD91" s="12"/>
    </row>
    <row r="92" spans="1:82" s="11" customFormat="1" x14ac:dyDescent="0.25">
      <c r="A92" s="11" t="str">
        <f>IF([1]Input_monitoring_data!A88="","",[1]Input_monitoring_data!A88)</f>
        <v>g0gn-mbvs-jtpx</v>
      </c>
      <c r="B92" s="22" t="str">
        <f>[1]Input_monitoring_data!BH88</f>
        <v>Goamu</v>
      </c>
      <c r="C92" s="22" t="str">
        <f>[1]Input_monitoring_data!BI88</f>
        <v>Mmotorkrom</v>
      </c>
      <c r="D92" s="22" t="str">
        <f>[1]Input_monitoring_data!P88</f>
        <v>7.0453353933448115</v>
      </c>
      <c r="E92" s="22" t="str">
        <f>[1]Input_monitoring_data!Q88</f>
        <v>-2.44833335221999</v>
      </c>
      <c r="F92" s="22" t="str">
        <f>[1]Input_monitoring_data!V88</f>
        <v>Near Aga Fusanis Farm</v>
      </c>
      <c r="G92" s="23" t="str">
        <f>[1]Input_monitoring_data!U88</f>
        <v>Borehole</v>
      </c>
      <c r="H92" s="22">
        <f>[1]Input_monitoring_data!X88</f>
        <v>2012</v>
      </c>
      <c r="I92" s="21" t="str">
        <f>[1]Input_monitoring_data!AB88</f>
        <v>Borehole redevelopment</v>
      </c>
      <c r="J92" s="21">
        <f>[1]Input_monitoring_data!AC88</f>
        <v>0</v>
      </c>
      <c r="K92" s="23" t="str">
        <f>[1]Input_monitoring_data!W88</f>
        <v>Solar Pump</v>
      </c>
      <c r="L92" s="22">
        <f>[1]Input_monitoring_data!X88</f>
        <v>2012</v>
      </c>
      <c r="M92" s="21">
        <f>IF([1]Input_monitoring_data!BL88&gt;'Point Sources_Asset_Register_'!L92,[1]Input_monitoring_data!BL88,"")</f>
        <v>2017</v>
      </c>
      <c r="N92" s="22" t="str">
        <f>[1]Input_monitoring_data!BQ88</f>
        <v>functional</v>
      </c>
      <c r="O92" s="22">
        <f>[1]Input_monitoring_data!AJ88</f>
        <v>0</v>
      </c>
      <c r="P92" s="23" t="s">
        <v>0</v>
      </c>
      <c r="Q92" s="22">
        <f>L92</f>
        <v>2012</v>
      </c>
      <c r="R92" s="21">
        <f>M92</f>
        <v>2017</v>
      </c>
      <c r="S92" s="20">
        <f>[1]Input_EUL_CRC_ERC!$B$17-Table1[[#This Row],[Year Installed_WL]]</f>
        <v>5</v>
      </c>
      <c r="T92" s="20">
        <f>[1]Input_EUL_CRC_ERC!$B$17-(IF(Table1[[#This Row],[Year Last_Rehab_WL ]]=0,Table1[[#This Row],[Year Installed_WL]],[1]Input_EUL_CRC_ERC!$B$17-Table1[[#This Row],[Year Last_Rehab_WL ]]))</f>
        <v>5</v>
      </c>
      <c r="U92" s="20">
        <f>(VLOOKUP(Table1[[#This Row],[Item_Rehab_WL]],[1]Input_EUL_CRC_ERC!$C$17:$E$27,2,FALSE)-Table1[[#This Row],[Last Rehab Age]])</f>
        <v>10</v>
      </c>
      <c r="V92" s="26">
        <f>[1]Input_EUL_CRC_ERC!$B$17-Table1[[#This Row],[Year Installed_HP]]</f>
        <v>5</v>
      </c>
      <c r="W92" s="26">
        <f>(VLOOKUP(Table1[[#This Row],[Item_Handpump]],[1]!Table2[#All],2,FALSE))-(IF(Table1[[#This Row],[Year Last_Rehab_HP]]="",Table1[[#This Row],[Current Age_Handpump]],[1]Input_EUL_CRC_ERC!$B$17-Table1[[#This Row],[Year Last_Rehab_HP]]))</f>
        <v>10</v>
      </c>
      <c r="X92" s="26">
        <f>[1]Input_EUL_CRC_ERC!$B$17-Table1[[#This Row],[Year Installed_PF]]</f>
        <v>5</v>
      </c>
      <c r="Y92" s="26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92" s="25">
        <f>IF(Table1[[#This Row],[Years_Next_Rehab_Well]]&lt;=0,VLOOKUP(Table1[[#This Row],[Item_Rehab_WL]],[1]!Table2[#All],3,FALSE),0)</f>
        <v>0</v>
      </c>
      <c r="AA92" s="25">
        <f>IF(Table1[[#This Row],[Adjusted_ULife_HP]]&lt;=0,VLOOKUP(Table1[[#This Row],[Item_Handpump]],[1]!Table2[#All],3,FALSE),0)</f>
        <v>0</v>
      </c>
      <c r="AB92" s="25">
        <f>IF(Table1[[#This Row],[Adjusted_ULife_PF]]&lt;=0,VLOOKUP(Table1[[#This Row],[Item_Platform]],[1]!Table2[#All],3,FALSE),0)</f>
        <v>0</v>
      </c>
      <c r="AC92" s="25">
        <f>SUM(Table1[[#This Row],[current yr_wl]:[current yr_pf]])</f>
        <v>0</v>
      </c>
      <c r="AD92" s="25">
        <f>IF(Table1[[#This Row],[Years_Next_Rehab_Well]]=1,VLOOKUP(Table1[[#This Row],[Item_Rehab_WL]],[1]!Table2[#All],4,FALSE),0)</f>
        <v>0</v>
      </c>
      <c r="AE92" s="25">
        <f>IF(Table1[[#This Row],[Adjusted_ULife_HP]]=1,VLOOKUP(Table1[[#This Row],[Item_Handpump]],[1]!Table2[#All],4,FALSE),0)</f>
        <v>0</v>
      </c>
      <c r="AF92" s="25">
        <f>IF(Table1[[#This Row],[Adjusted_ULife_PF]]=1,VLOOKUP(Table1[[#This Row],[Item_Platform]],[1]!Table2[#All],4,FALSE),0)</f>
        <v>0</v>
      </c>
      <c r="AG92" s="25">
        <f>SUM(Table1[[#This Row],[yr 1_wl]:[yr 1_pf]])</f>
        <v>0</v>
      </c>
      <c r="AH92" s="25">
        <f>IF(Table1[[#This Row],[Years_Next_Rehab_Well]]=2,VLOOKUP(Table1[[#This Row],[Item_Rehab_WL]],[1]!Table2[#All],5,FALSE),0)</f>
        <v>0</v>
      </c>
      <c r="AI92" s="25">
        <f>IF(Table1[[#This Row],[Adjusted_ULife_HP]]=2,VLOOKUP(Table1[[#This Row],[Item_Handpump]],[1]!Table2[#All],5,FALSE),0)</f>
        <v>0</v>
      </c>
      <c r="AJ92" s="25">
        <f>IF(Table1[[#This Row],[Adjusted_ULife_PF]]=2,VLOOKUP(Table1[[#This Row],[Item_Platform]],[1]!Table2[#All],5,FALSE),0)</f>
        <v>0</v>
      </c>
      <c r="AK92" s="25">
        <f>SUM(Table1[[#This Row],[yr 2_wl]:[yr 2_pf]])</f>
        <v>0</v>
      </c>
      <c r="AL92" s="25">
        <f>IF(Table1[[#This Row],[Years_Next_Rehab_Well]]=3,VLOOKUP(Table1[[#This Row],[Item_Rehab_WL]],[1]!Table2[#All],6,FALSE),0)</f>
        <v>0</v>
      </c>
      <c r="AM92" s="25">
        <f>IF(Table1[[#This Row],[Adjusted_ULife_HP]]=3,VLOOKUP(Table1[[#This Row],[Item_Handpump]],[1]!Table2[#All],6,FALSE),0)</f>
        <v>0</v>
      </c>
      <c r="AN92" s="25">
        <f>IF(Table1[[#This Row],[Adjusted_ULife_PF]]=3,VLOOKUP(Table1[[#This Row],[Item_Platform]],[1]!Table2[#All],6,FALSE),0)</f>
        <v>0</v>
      </c>
      <c r="AO92" s="25">
        <f>SUM(Table1[[#This Row],[yr 3_wl]:[yr 3_pf]])</f>
        <v>0</v>
      </c>
      <c r="AP92" s="25">
        <f>IF(Table1[[#This Row],[Years_Next_Rehab_Well]]=4,VLOOKUP(Table1[[#This Row],[Item_Rehab_WL]],[1]!Table2[#All],7,FALSE),0)</f>
        <v>0</v>
      </c>
      <c r="AQ92" s="25">
        <f>IF(Table1[[#This Row],[Adjusted_ULife_HP]]=4,VLOOKUP(Table1[[#This Row],[Item_Handpump]],[1]!Table2[#All],7,FALSE),0)</f>
        <v>0</v>
      </c>
      <c r="AR92" s="25">
        <f>IF(Table1[[#This Row],[Adjusted_ULife_PF]]=4,VLOOKUP(Table1[[#This Row],[Item_Platform]],[1]!Table2[#All],7,FALSE),0)</f>
        <v>0</v>
      </c>
      <c r="AS92" s="25">
        <f>SUM(Table1[[#This Row],[yr 4_wl]:[yr 4_pf]])</f>
        <v>0</v>
      </c>
      <c r="AT92" s="25">
        <f>IF(Table1[[#This Row],[Years_Next_Rehab_Well]]=5,VLOOKUP(Table1[[#This Row],[Item_Rehab_WL]],[1]!Table2[#All],8,FALSE),0)</f>
        <v>0</v>
      </c>
      <c r="AU92" s="25">
        <f>IF(Table1[[#This Row],[Adjusted_ULife_HP]]=5,VLOOKUP(Table1[[#This Row],[Item_Handpump]],[1]!Table2[#All],8,FALSE),0)</f>
        <v>0</v>
      </c>
      <c r="AV92" s="25">
        <f>IF(Table1[[#This Row],[Adjusted_ULife_PF]]=5,VLOOKUP(Table1[[#This Row],[Item_Platform]],[1]!Table2[#All],8,FALSE),0)</f>
        <v>0</v>
      </c>
      <c r="AW92" s="25">
        <f>SUM(Table1[[#This Row],[yr 5_wl]:[yr 5_pf]])</f>
        <v>0</v>
      </c>
      <c r="AX92" s="25">
        <f>IF(Table1[[#This Row],[Years_Next_Rehab_Well]]=6,VLOOKUP(Table1[[#This Row],[Item_Rehab_WL]],[1]!Table2[#All],9,FALSE),0)</f>
        <v>0</v>
      </c>
      <c r="AY92" s="25">
        <f>IF(Table1[[#This Row],[Adjusted_ULife_HP]]=6,VLOOKUP(Table1[[#This Row],[Item_Handpump]],[1]!Table2[#All],9,FALSE),0)</f>
        <v>0</v>
      </c>
      <c r="AZ92" s="25">
        <f>IF(Table1[[#This Row],[Adjusted_ULife_PF]]=6,VLOOKUP(Table1[[#This Row],[Item_Platform]],[1]!Table2[#All],9,FALSE),0)</f>
        <v>0</v>
      </c>
      <c r="BA92" s="25">
        <f>SUM(Table1[[#This Row],[yr 6_wl]:[yr 6_pf]])</f>
        <v>0</v>
      </c>
      <c r="BB92" s="25">
        <f>IF(Table1[[#This Row],[Years_Next_Rehab_Well]]=7,VLOOKUP(Table1[[#This Row],[Item_Rehab_WL]],[1]!Table2[#All],10,FALSE),0)</f>
        <v>0</v>
      </c>
      <c r="BC92" s="25">
        <f>IF(Table1[[#This Row],[Adjusted_ULife_HP]]=7,VLOOKUP(Table1[[#This Row],[Item_Handpump]],[1]!Table2[#All],10,FALSE),0)</f>
        <v>0</v>
      </c>
      <c r="BD92" s="25">
        <f>IF(Table1[[#This Row],[Adjusted_ULife_PF]]=7,VLOOKUP(Table1[[#This Row],[Item_Platform]],[1]!Table2[#All],10,FALSE),0)</f>
        <v>0</v>
      </c>
      <c r="BE92" s="25">
        <f>SUM(Table1[[#This Row],[yr 7_wl]:[yr 7_pf]])</f>
        <v>0</v>
      </c>
      <c r="BF92" s="25">
        <f>IF(Table1[[#This Row],[Years_Next_Rehab_Well]]=8,VLOOKUP(Table1[[#This Row],[Item_Rehab_WL]],[1]!Table2[#All],11,FALSE),0)</f>
        <v>0</v>
      </c>
      <c r="BG92" s="25">
        <f>IF(Table1[[#This Row],[Adjusted_ULife_HP]]=8,VLOOKUP(Table1[[#This Row],[Item_Handpump]],[1]!Table2[#All],11,FALSE),0)</f>
        <v>0</v>
      </c>
      <c r="BH92" s="25">
        <f>IF(Table1[[#This Row],[Adjusted_ULife_PF]]=8,VLOOKUP(Table1[[#This Row],[Item_Platform]],[1]!Table2[#All],11,FALSE),0)</f>
        <v>0</v>
      </c>
      <c r="BI92" s="25">
        <f>SUM(Table1[[#This Row],[yr 8_wl]:[yr 8_pf]])</f>
        <v>0</v>
      </c>
      <c r="BJ92" s="25">
        <f>IF(Table1[[#This Row],[Years_Next_Rehab_Well]]=9,VLOOKUP(Table1[[#This Row],[Item_Rehab_WL]],[1]!Table2[#All],12,FALSE),0)</f>
        <v>0</v>
      </c>
      <c r="BK92" s="25">
        <f>IF(Table1[[#This Row],[Adjusted_ULife_HP]]=9,VLOOKUP(Table1[[#This Row],[Item_Handpump]],[1]!Table2[#All],12,FALSE),0)</f>
        <v>0</v>
      </c>
      <c r="BL92" s="25">
        <f>IF(Table1[[#This Row],[Adjusted_ULife_PF]]=9,VLOOKUP(Table1[[#This Row],[Item_Platform]],[1]!Table2[#All],12,FALSE),0)</f>
        <v>0</v>
      </c>
      <c r="BM92" s="25">
        <f>SUM(Table1[[#This Row],[yr 9_wl]:[yr 9_pf]])</f>
        <v>0</v>
      </c>
      <c r="BN92" s="25">
        <f>IF(Table1[[#This Row],[Years_Next_Rehab_Well]]=10,VLOOKUP(Table1[[#This Row],[Item_Rehab_WL]],[1]!Table2[#All],13,FALSE),0)</f>
        <v>11388.110097262112</v>
      </c>
      <c r="BO92" s="25">
        <f>IF(Table1[[#This Row],[Adjusted_ULife_HP]]=10,VLOOKUP(Table1[[#This Row],[Item_Handpump]],[1]!Table2[#All],13,FALSE),0)</f>
        <v>1242.3392833376847</v>
      </c>
      <c r="BP92" s="25">
        <f>IF(Table1[[#This Row],[Adjusted_ULife_PF]]=10,VLOOKUP(Table1[[#This Row],[Item_Platform]],[1]!Table2[#All],13,FALSE),0)</f>
        <v>4658.7723125163184</v>
      </c>
      <c r="BQ92" s="25">
        <f>SUM(Table1[[#This Row],[yr 10_wl]:[yr 10_pf]])</f>
        <v>17289.221693116113</v>
      </c>
      <c r="BR92" s="25">
        <f>IF(Table1[[#This Row],[Years_Next_Rehab_Well]]=11,VLOOKUP(Table1[[#This Row],[Item_Rehab_WL]],[1]!Table2[#All],14,FALSE),0)</f>
        <v>0</v>
      </c>
      <c r="BS92" s="25">
        <f>IF(Table1[[#This Row],[Adjusted_ULife_HP]]=11,VLOOKUP(Table1[[#This Row],[Item_Handpump]],[1]!Table2[#All],14,FALSE),0)</f>
        <v>0</v>
      </c>
      <c r="BT92" s="25">
        <f>IF(Table1[[#This Row],[Adjusted_ULife_PF]]=11,VLOOKUP(Table1[[#This Row],[Item_Platform]],[1]!Table2[#All],14,FALSE),0)</f>
        <v>0</v>
      </c>
      <c r="BU92" s="25">
        <f>SUM(Table1[[#This Row],[yr 11_wl]:[yr 11_pf]])</f>
        <v>0</v>
      </c>
      <c r="BV92" s="25">
        <f>IF(Table1[[#This Row],[Years_Next_Rehab_Well]]=12,VLOOKUP(Table1[[#This Row],[Item_Rehab_WL]],[1]!Table2[#All],15,FALSE),0)</f>
        <v>0</v>
      </c>
      <c r="BW92" s="25">
        <f>IF(Table1[[#This Row],[Adjusted_ULife_HP]]=12,VLOOKUP(Table1[[#This Row],[Item_Handpump]],[1]!Table2[#All],15,FALSE),0)</f>
        <v>0</v>
      </c>
      <c r="BX92" s="25">
        <f>IF(Table1[[#This Row],[Adjusted_ULife_PF]]=12,VLOOKUP(Table1[[#This Row],[Item_Platform]],[1]!Table2[#All],15,FALSE),0)</f>
        <v>0</v>
      </c>
      <c r="BY92" s="25">
        <f>SUM(Table1[[#This Row],[yr 12_wl]:[yr 12_pf]])</f>
        <v>0</v>
      </c>
      <c r="BZ92" s="25">
        <f>IF(Table1[[#This Row],[Years_Next_Rehab_Well]]=13,VLOOKUP(Table1[[#This Row],[Item_Rehab_WL]],[1]!Table2[#All],16,FALSE),0)</f>
        <v>0</v>
      </c>
      <c r="CA92" s="25">
        <f>IF(Table1[[#This Row],[Adjusted_ULife_HP]]=13,VLOOKUP(Table1[[#This Row],[Item_Handpump]],[1]!Table2[#All],16,FALSE),0)</f>
        <v>0</v>
      </c>
      <c r="CB92" s="25">
        <f>IF(Table1[[#This Row],[Adjusted_ULife_PF]]=13,VLOOKUP(Table1[[#This Row],[Item_Platform]],[1]!Table2[#All],16,FALSE),0)</f>
        <v>0</v>
      </c>
      <c r="CC92" s="25">
        <f>SUM(Table1[[#This Row],[yr 13_wl]:[yr 13_pf]])</f>
        <v>0</v>
      </c>
      <c r="CD92" s="12"/>
    </row>
    <row r="93" spans="1:82" s="11" customFormat="1" x14ac:dyDescent="0.25">
      <c r="A93" s="11" t="str">
        <f>IF([1]Input_monitoring_data!A89="","",[1]Input_monitoring_data!A89)</f>
        <v>g7p7-h2x0-wd68</v>
      </c>
      <c r="B93" s="22" t="str">
        <f>[1]Input_monitoring_data!BH89</f>
        <v>Kenyasi No.2</v>
      </c>
      <c r="C93" s="22" t="str">
        <f>[1]Input_monitoring_data!BI89</f>
        <v>Kwaku Addaikrom</v>
      </c>
      <c r="D93" s="22" t="str">
        <f>[1]Input_monitoring_data!P89</f>
        <v>7.057173742491878</v>
      </c>
      <c r="E93" s="22" t="str">
        <f>[1]Input_monitoring_data!Q89</f>
        <v>-2.386531381070613</v>
      </c>
      <c r="F93" s="22" t="str">
        <f>[1]Input_monitoring_data!V89</f>
        <v>Agya Addae'Premises</v>
      </c>
      <c r="G93" s="23" t="str">
        <f>[1]Input_monitoring_data!U89</f>
        <v>Borehole</v>
      </c>
      <c r="H93" s="22">
        <f>[1]Input_monitoring_data!X89</f>
        <v>2008</v>
      </c>
      <c r="I93" s="21" t="str">
        <f>[1]Input_monitoring_data!AB89</f>
        <v>Borehole redevelopment</v>
      </c>
      <c r="J93" s="21">
        <f>[1]Input_monitoring_data!AC89</f>
        <v>0</v>
      </c>
      <c r="K93" s="23" t="str">
        <f>[1]Input_monitoring_data!W89</f>
        <v>AfriDev</v>
      </c>
      <c r="L93" s="22">
        <f>[1]Input_monitoring_data!X89</f>
        <v>2008</v>
      </c>
      <c r="M93" s="21">
        <f>IF([1]Input_monitoring_data!BL89&gt;'Point Sources_Asset_Register_'!L93,[1]Input_monitoring_data!BL89,"")</f>
        <v>2012</v>
      </c>
      <c r="N93" s="22" t="str">
        <f>[1]Input_monitoring_data!BQ89</f>
        <v>functional</v>
      </c>
      <c r="O93" s="22">
        <f>[1]Input_monitoring_data!AJ89</f>
        <v>0</v>
      </c>
      <c r="P93" s="23" t="s">
        <v>0</v>
      </c>
      <c r="Q93" s="22">
        <f>L93</f>
        <v>2008</v>
      </c>
      <c r="R93" s="21">
        <f>M93</f>
        <v>2012</v>
      </c>
      <c r="S93" s="20">
        <f>[1]Input_EUL_CRC_ERC!$B$17-Table1[[#This Row],[Year Installed_WL]]</f>
        <v>9</v>
      </c>
      <c r="T93" s="20">
        <f>[1]Input_EUL_CRC_ERC!$B$17-(IF(Table1[[#This Row],[Year Last_Rehab_WL ]]=0,Table1[[#This Row],[Year Installed_WL]],[1]Input_EUL_CRC_ERC!$B$17-Table1[[#This Row],[Year Last_Rehab_WL ]]))</f>
        <v>9</v>
      </c>
      <c r="U93" s="20">
        <f>(VLOOKUP(Table1[[#This Row],[Item_Rehab_WL]],[1]Input_EUL_CRC_ERC!$C$17:$E$27,2,FALSE)-Table1[[#This Row],[Last Rehab Age]])</f>
        <v>6</v>
      </c>
      <c r="V93" s="26">
        <f>[1]Input_EUL_CRC_ERC!$B$17-Table1[[#This Row],[Year Installed_HP]]</f>
        <v>9</v>
      </c>
      <c r="W93" s="26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93" s="26">
        <f>[1]Input_EUL_CRC_ERC!$B$17-Table1[[#This Row],[Year Installed_PF]]</f>
        <v>9</v>
      </c>
      <c r="Y93" s="26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93" s="25">
        <f>IF(Table1[[#This Row],[Years_Next_Rehab_Well]]&lt;=0,VLOOKUP(Table1[[#This Row],[Item_Rehab_WL]],[1]!Table2[#All],3,FALSE),0)</f>
        <v>0</v>
      </c>
      <c r="AA93" s="25">
        <f>IF(Table1[[#This Row],[Adjusted_ULife_HP]]&lt;=0,VLOOKUP(Table1[[#This Row],[Item_Handpump]],[1]!Table2[#All],3,FALSE),0)</f>
        <v>0</v>
      </c>
      <c r="AB93" s="25">
        <f>IF(Table1[[#This Row],[Adjusted_ULife_PF]]&lt;=0,VLOOKUP(Table1[[#This Row],[Item_Platform]],[1]!Table2[#All],3,FALSE),0)</f>
        <v>0</v>
      </c>
      <c r="AC93" s="25">
        <f>SUM(Table1[[#This Row],[current yr_wl]:[current yr_pf]])</f>
        <v>0</v>
      </c>
      <c r="AD93" s="25">
        <f>IF(Table1[[#This Row],[Years_Next_Rehab_Well]]=1,VLOOKUP(Table1[[#This Row],[Item_Rehab_WL]],[1]!Table2[#All],4,FALSE),0)</f>
        <v>0</v>
      </c>
      <c r="AE93" s="25">
        <f>IF(Table1[[#This Row],[Adjusted_ULife_HP]]=1,VLOOKUP(Table1[[#This Row],[Item_Handpump]],[1]!Table2[#All],4,FALSE),0)</f>
        <v>0</v>
      </c>
      <c r="AF93" s="25">
        <f>IF(Table1[[#This Row],[Adjusted_ULife_PF]]=1,VLOOKUP(Table1[[#This Row],[Item_Platform]],[1]!Table2[#All],4,FALSE),0)</f>
        <v>0</v>
      </c>
      <c r="AG93" s="25">
        <f>SUM(Table1[[#This Row],[yr 1_wl]:[yr 1_pf]])</f>
        <v>0</v>
      </c>
      <c r="AH93" s="25">
        <f>IF(Table1[[#This Row],[Years_Next_Rehab_Well]]=2,VLOOKUP(Table1[[#This Row],[Item_Rehab_WL]],[1]!Table2[#All],5,FALSE),0)</f>
        <v>0</v>
      </c>
      <c r="AI93" s="25">
        <f>IF(Table1[[#This Row],[Adjusted_ULife_HP]]=2,VLOOKUP(Table1[[#This Row],[Item_Handpump]],[1]!Table2[#All],5,FALSE),0)</f>
        <v>0</v>
      </c>
      <c r="AJ93" s="25">
        <f>IF(Table1[[#This Row],[Adjusted_ULife_PF]]=2,VLOOKUP(Table1[[#This Row],[Item_Platform]],[1]!Table2[#All],5,FALSE),0)</f>
        <v>0</v>
      </c>
      <c r="AK93" s="25">
        <f>SUM(Table1[[#This Row],[yr 2_wl]:[yr 2_pf]])</f>
        <v>0</v>
      </c>
      <c r="AL93" s="25">
        <f>IF(Table1[[#This Row],[Years_Next_Rehab_Well]]=3,VLOOKUP(Table1[[#This Row],[Item_Rehab_WL]],[1]!Table2[#All],6,FALSE),0)</f>
        <v>0</v>
      </c>
      <c r="AM93" s="25">
        <f>IF(Table1[[#This Row],[Adjusted_ULife_HP]]=3,VLOOKUP(Table1[[#This Row],[Item_Handpump]],[1]!Table2[#All],6,FALSE),0)</f>
        <v>0</v>
      </c>
      <c r="AN93" s="25">
        <f>IF(Table1[[#This Row],[Adjusted_ULife_PF]]=3,VLOOKUP(Table1[[#This Row],[Item_Platform]],[1]!Table2[#All],6,FALSE),0)</f>
        <v>0</v>
      </c>
      <c r="AO93" s="25">
        <f>SUM(Table1[[#This Row],[yr 3_wl]:[yr 3_pf]])</f>
        <v>0</v>
      </c>
      <c r="AP93" s="25">
        <f>IF(Table1[[#This Row],[Years_Next_Rehab_Well]]=4,VLOOKUP(Table1[[#This Row],[Item_Rehab_WL]],[1]!Table2[#All],7,FALSE),0)</f>
        <v>0</v>
      </c>
      <c r="AQ93" s="25">
        <f>IF(Table1[[#This Row],[Adjusted_ULife_HP]]=4,VLOOKUP(Table1[[#This Row],[Item_Handpump]],[1]!Table2[#All],7,FALSE),0)</f>
        <v>0</v>
      </c>
      <c r="AR93" s="25">
        <f>IF(Table1[[#This Row],[Adjusted_ULife_PF]]=4,VLOOKUP(Table1[[#This Row],[Item_Platform]],[1]!Table2[#All],7,FALSE),0)</f>
        <v>0</v>
      </c>
      <c r="AS93" s="25">
        <f>SUM(Table1[[#This Row],[yr 4_wl]:[yr 4_pf]])</f>
        <v>0</v>
      </c>
      <c r="AT93" s="25">
        <f>IF(Table1[[#This Row],[Years_Next_Rehab_Well]]=5,VLOOKUP(Table1[[#This Row],[Item_Rehab_WL]],[1]!Table2[#All],8,FALSE),0)</f>
        <v>0</v>
      </c>
      <c r="AU93" s="25">
        <f>IF(Table1[[#This Row],[Adjusted_ULife_HP]]=5,VLOOKUP(Table1[[#This Row],[Item_Handpump]],[1]!Table2[#All],8,FALSE),0)</f>
        <v>0</v>
      </c>
      <c r="AV93" s="25">
        <f>IF(Table1[[#This Row],[Adjusted_ULife_PF]]=5,VLOOKUP(Table1[[#This Row],[Item_Platform]],[1]!Table2[#All],8,FALSE),0)</f>
        <v>2643.5125248000018</v>
      </c>
      <c r="AW93" s="25">
        <f>SUM(Table1[[#This Row],[yr 5_wl]:[yr 5_pf]])</f>
        <v>2643.5125248000018</v>
      </c>
      <c r="AX93" s="25">
        <f>IF(Table1[[#This Row],[Years_Next_Rehab_Well]]=6,VLOOKUP(Table1[[#This Row],[Item_Rehab_WL]],[1]!Table2[#All],9,FALSE),0)</f>
        <v>7237.3498456746702</v>
      </c>
      <c r="AY93" s="25">
        <f>IF(Table1[[#This Row],[Adjusted_ULife_HP]]=6,VLOOKUP(Table1[[#This Row],[Item_Handpump]],[1]!Table2[#All],9,FALSE),0)</f>
        <v>0</v>
      </c>
      <c r="AZ93" s="25">
        <f>IF(Table1[[#This Row],[Adjusted_ULife_PF]]=6,VLOOKUP(Table1[[#This Row],[Item_Platform]],[1]!Table2[#All],9,FALSE),0)</f>
        <v>0</v>
      </c>
      <c r="BA93" s="25">
        <f>SUM(Table1[[#This Row],[yr 6_wl]:[yr 6_pf]])</f>
        <v>7237.3498456746702</v>
      </c>
      <c r="BB93" s="25">
        <f>IF(Table1[[#This Row],[Years_Next_Rehab_Well]]=7,VLOOKUP(Table1[[#This Row],[Item_Rehab_WL]],[1]!Table2[#All],10,FALSE),0)</f>
        <v>0</v>
      </c>
      <c r="BC93" s="25">
        <f>IF(Table1[[#This Row],[Adjusted_ULife_HP]]=7,VLOOKUP(Table1[[#This Row],[Item_Handpump]],[1]!Table2[#All],10,FALSE),0)</f>
        <v>0</v>
      </c>
      <c r="BD93" s="25">
        <f>IF(Table1[[#This Row],[Adjusted_ULife_PF]]=7,VLOOKUP(Table1[[#This Row],[Item_Platform]],[1]!Table2[#All],10,FALSE),0)</f>
        <v>0</v>
      </c>
      <c r="BE93" s="25">
        <f>SUM(Table1[[#This Row],[yr 7_wl]:[yr 7_pf]])</f>
        <v>0</v>
      </c>
      <c r="BF93" s="25">
        <f>IF(Table1[[#This Row],[Years_Next_Rehab_Well]]=8,VLOOKUP(Table1[[#This Row],[Item_Rehab_WL]],[1]!Table2[#All],11,FALSE),0)</f>
        <v>0</v>
      </c>
      <c r="BG93" s="25">
        <f>IF(Table1[[#This Row],[Adjusted_ULife_HP]]=8,VLOOKUP(Table1[[#This Row],[Item_Handpump]],[1]!Table2[#All],11,FALSE),0)</f>
        <v>0</v>
      </c>
      <c r="BH93" s="25">
        <f>IF(Table1[[#This Row],[Adjusted_ULife_PF]]=8,VLOOKUP(Table1[[#This Row],[Item_Platform]],[1]!Table2[#All],11,FALSE),0)</f>
        <v>0</v>
      </c>
      <c r="BI93" s="25">
        <f>SUM(Table1[[#This Row],[yr 8_wl]:[yr 8_pf]])</f>
        <v>0</v>
      </c>
      <c r="BJ93" s="25">
        <f>IF(Table1[[#This Row],[Years_Next_Rehab_Well]]=9,VLOOKUP(Table1[[#This Row],[Item_Rehab_WL]],[1]!Table2[#All],12,FALSE),0)</f>
        <v>0</v>
      </c>
      <c r="BK93" s="25">
        <f>IF(Table1[[#This Row],[Adjusted_ULife_HP]]=9,VLOOKUP(Table1[[#This Row],[Item_Handpump]],[1]!Table2[#All],12,FALSE),0)</f>
        <v>0</v>
      </c>
      <c r="BL93" s="25">
        <f>IF(Table1[[#This Row],[Adjusted_ULife_PF]]=9,VLOOKUP(Table1[[#This Row],[Item_Platform]],[1]!Table2[#All],12,FALSE),0)</f>
        <v>0</v>
      </c>
      <c r="BM93" s="25">
        <f>SUM(Table1[[#This Row],[yr 9_wl]:[yr 9_pf]])</f>
        <v>0</v>
      </c>
      <c r="BN93" s="25">
        <f>IF(Table1[[#This Row],[Years_Next_Rehab_Well]]=10,VLOOKUP(Table1[[#This Row],[Item_Rehab_WL]],[1]!Table2[#All],13,FALSE),0)</f>
        <v>0</v>
      </c>
      <c r="BO93" s="25">
        <f>IF(Table1[[#This Row],[Adjusted_ULife_HP]]=10,VLOOKUP(Table1[[#This Row],[Item_Handpump]],[1]!Table2[#All],13,FALSE),0)</f>
        <v>0</v>
      </c>
      <c r="BP93" s="25">
        <f>IF(Table1[[#This Row],[Adjusted_ULife_PF]]=10,VLOOKUP(Table1[[#This Row],[Item_Platform]],[1]!Table2[#All],13,FALSE),0)</f>
        <v>0</v>
      </c>
      <c r="BQ93" s="25">
        <f>SUM(Table1[[#This Row],[yr 10_wl]:[yr 10_pf]])</f>
        <v>0</v>
      </c>
      <c r="BR93" s="25">
        <f>IF(Table1[[#This Row],[Years_Next_Rehab_Well]]=11,VLOOKUP(Table1[[#This Row],[Item_Rehab_WL]],[1]!Table2[#All],14,FALSE),0)</f>
        <v>0</v>
      </c>
      <c r="BS93" s="25">
        <f>IF(Table1[[#This Row],[Adjusted_ULife_HP]]=11,VLOOKUP(Table1[[#This Row],[Item_Handpump]],[1]!Table2[#All],14,FALSE),0)</f>
        <v>0</v>
      </c>
      <c r="BT93" s="25">
        <f>IF(Table1[[#This Row],[Adjusted_ULife_PF]]=11,VLOOKUP(Table1[[#This Row],[Item_Platform]],[1]!Table2[#All],14,FALSE),0)</f>
        <v>0</v>
      </c>
      <c r="BU93" s="25">
        <f>SUM(Table1[[#This Row],[yr 11_wl]:[yr 11_pf]])</f>
        <v>0</v>
      </c>
      <c r="BV93" s="25">
        <f>IF(Table1[[#This Row],[Years_Next_Rehab_Well]]=12,VLOOKUP(Table1[[#This Row],[Item_Rehab_WL]],[1]!Table2[#All],15,FALSE),0)</f>
        <v>0</v>
      </c>
      <c r="BW93" s="25">
        <f>IF(Table1[[#This Row],[Adjusted_ULife_HP]]=12,VLOOKUP(Table1[[#This Row],[Item_Handpump]],[1]!Table2[#All],15,FALSE),0)</f>
        <v>0</v>
      </c>
      <c r="BX93" s="25">
        <f>IF(Table1[[#This Row],[Adjusted_ULife_PF]]=12,VLOOKUP(Table1[[#This Row],[Item_Platform]],[1]!Table2[#All],15,FALSE),0)</f>
        <v>0</v>
      </c>
      <c r="BY93" s="25">
        <f>SUM(Table1[[#This Row],[yr 12_wl]:[yr 12_pf]])</f>
        <v>0</v>
      </c>
      <c r="BZ93" s="25">
        <f>IF(Table1[[#This Row],[Years_Next_Rehab_Well]]=13,VLOOKUP(Table1[[#This Row],[Item_Rehab_WL]],[1]!Table2[#All],16,FALSE),0)</f>
        <v>0</v>
      </c>
      <c r="CA93" s="25">
        <f>IF(Table1[[#This Row],[Adjusted_ULife_HP]]=13,VLOOKUP(Table1[[#This Row],[Item_Handpump]],[1]!Table2[#All],16,FALSE),0)</f>
        <v>0</v>
      </c>
      <c r="CB93" s="25">
        <f>IF(Table1[[#This Row],[Adjusted_ULife_PF]]=13,VLOOKUP(Table1[[#This Row],[Item_Platform]],[1]!Table2[#All],16,FALSE),0)</f>
        <v>0</v>
      </c>
      <c r="CC93" s="25">
        <f>SUM(Table1[[#This Row],[yr 13_wl]:[yr 13_pf]])</f>
        <v>0</v>
      </c>
      <c r="CD93" s="12"/>
    </row>
    <row r="94" spans="1:82" s="11" customFormat="1" x14ac:dyDescent="0.25">
      <c r="A94" s="11" t="str">
        <f>IF([1]Input_monitoring_data!A90="","",[1]Input_monitoring_data!A90)</f>
        <v>g875-bwvv-r4e5</v>
      </c>
      <c r="B94" s="22" t="str">
        <f>[1]Input_monitoring_data!BH90</f>
        <v>Kenyasi No.2</v>
      </c>
      <c r="C94" s="22" t="str">
        <f>[1]Input_monitoring_data!BI90</f>
        <v>Dokyikrom</v>
      </c>
      <c r="D94" s="22" t="str">
        <f>[1]Input_monitoring_data!P90</f>
        <v>7.042495232180223</v>
      </c>
      <c r="E94" s="22" t="str">
        <f>[1]Input_monitoring_data!Q90</f>
        <v>-2.39718261134941</v>
      </c>
      <c r="F94" s="22" t="str">
        <f>[1]Input_monitoring_data!V90</f>
        <v>Near Nana Super's House</v>
      </c>
      <c r="G94" s="23" t="str">
        <f>[1]Input_monitoring_data!U90</f>
        <v>Borehole</v>
      </c>
      <c r="H94" s="22">
        <f>[1]Input_monitoring_data!X90</f>
        <v>2004</v>
      </c>
      <c r="I94" s="21" t="str">
        <f>[1]Input_monitoring_data!AB90</f>
        <v>Borehole redevelopment</v>
      </c>
      <c r="J94" s="21">
        <f>[1]Input_monitoring_data!AC90</f>
        <v>0</v>
      </c>
      <c r="K94" s="23" t="str">
        <f>[1]Input_monitoring_data!W90</f>
        <v>AfriDev</v>
      </c>
      <c r="L94" s="22">
        <f>[1]Input_monitoring_data!X90</f>
        <v>2004</v>
      </c>
      <c r="M94" s="21">
        <f>IF([1]Input_monitoring_data!BL90&gt;'Point Sources_Asset_Register_'!L94,[1]Input_monitoring_data!BL90,"")</f>
        <v>2017</v>
      </c>
      <c r="N94" s="22" t="str">
        <f>[1]Input_monitoring_data!BQ90</f>
        <v>not functional</v>
      </c>
      <c r="O94" s="22" t="str">
        <f>[1]Input_monitoring_data!AJ90</f>
        <v>facility under repair</v>
      </c>
      <c r="P94" s="23" t="s">
        <v>0</v>
      </c>
      <c r="Q94" s="22">
        <f>L94</f>
        <v>2004</v>
      </c>
      <c r="R94" s="21">
        <f>M94</f>
        <v>2017</v>
      </c>
      <c r="S94" s="20">
        <f>[1]Input_EUL_CRC_ERC!$B$17-Table1[[#This Row],[Year Installed_WL]]</f>
        <v>13</v>
      </c>
      <c r="T94" s="20">
        <f>[1]Input_EUL_CRC_ERC!$B$17-(IF(Table1[[#This Row],[Year Last_Rehab_WL ]]=0,Table1[[#This Row],[Year Installed_WL]],[1]Input_EUL_CRC_ERC!$B$17-Table1[[#This Row],[Year Last_Rehab_WL ]]))</f>
        <v>13</v>
      </c>
      <c r="U94" s="20">
        <f>(VLOOKUP(Table1[[#This Row],[Item_Rehab_WL]],[1]Input_EUL_CRC_ERC!$C$17:$E$27,2,FALSE)-Table1[[#This Row],[Last Rehab Age]])</f>
        <v>2</v>
      </c>
      <c r="V94" s="19">
        <f>[1]Input_EUL_CRC_ERC!$B$17-Table1[[#This Row],[Year Installed_HP]]</f>
        <v>13</v>
      </c>
      <c r="W94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94" s="19">
        <f>[1]Input_EUL_CRC_ERC!$B$17-Table1[[#This Row],[Year Installed_PF]]</f>
        <v>13</v>
      </c>
      <c r="Y94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94" s="25">
        <f>IF(Table1[[#This Row],[Years_Next_Rehab_Well]]&lt;=0,VLOOKUP(Table1[[#This Row],[Item_Rehab_WL]],[1]!Table2[#All],3,FALSE),0)</f>
        <v>0</v>
      </c>
      <c r="AA94" s="18">
        <f>IF(Table1[[#This Row],[Adjusted_ULife_HP]]&lt;=0,VLOOKUP(Table1[[#This Row],[Item_Handpump]],[1]!Table2[#All],3,FALSE),0)</f>
        <v>0</v>
      </c>
      <c r="AB94" s="18">
        <f>IF(Table1[[#This Row],[Adjusted_ULife_PF]]&lt;=0,VLOOKUP(Table1[[#This Row],[Item_Platform]],[1]!Table2[#All],3,FALSE),0)</f>
        <v>0</v>
      </c>
      <c r="AC94" s="18">
        <f>SUM(Table1[[#This Row],[current yr_wl]:[current yr_pf]])</f>
        <v>0</v>
      </c>
      <c r="AD94" s="25">
        <f>IF(Table1[[#This Row],[Years_Next_Rehab_Well]]=1,VLOOKUP(Table1[[#This Row],[Item_Rehab_WL]],[1]!Table2[#All],4,FALSE),0)</f>
        <v>0</v>
      </c>
      <c r="AE94" s="25">
        <f>IF(Table1[[#This Row],[Adjusted_ULife_HP]]=1,VLOOKUP(Table1[[#This Row],[Item_Handpump]],[1]!Table2[#All],4,FALSE),0)</f>
        <v>0</v>
      </c>
      <c r="AF94" s="25">
        <f>IF(Table1[[#This Row],[Adjusted_ULife_PF]]=1,VLOOKUP(Table1[[#This Row],[Item_Platform]],[1]!Table2[#All],4,FALSE),0)</f>
        <v>0</v>
      </c>
      <c r="AG94" s="25">
        <f>SUM(Table1[[#This Row],[yr 1_wl]:[yr 1_pf]])</f>
        <v>0</v>
      </c>
      <c r="AH94" s="25">
        <f>IF(Table1[[#This Row],[Years_Next_Rehab_Well]]=2,VLOOKUP(Table1[[#This Row],[Item_Rehab_WL]],[1]!Table2[#All],5,FALSE),0)</f>
        <v>4599.4666666666672</v>
      </c>
      <c r="AI94" s="25">
        <f>IF(Table1[[#This Row],[Adjusted_ULife_HP]]=2,VLOOKUP(Table1[[#This Row],[Item_Handpump]],[1]!Table2[#All],5,FALSE),0)</f>
        <v>0</v>
      </c>
      <c r="AJ94" s="25">
        <f>IF(Table1[[#This Row],[Adjusted_ULife_PF]]=2,VLOOKUP(Table1[[#This Row],[Item_Platform]],[1]!Table2[#All],5,FALSE),0)</f>
        <v>0</v>
      </c>
      <c r="AK94" s="25">
        <f>SUM(Table1[[#This Row],[yr 2_wl]:[yr 2_pf]])</f>
        <v>4599.4666666666672</v>
      </c>
      <c r="AL94" s="25">
        <f>IF(Table1[[#This Row],[Years_Next_Rehab_Well]]=3,VLOOKUP(Table1[[#This Row],[Item_Rehab_WL]],[1]!Table2[#All],6,FALSE),0)</f>
        <v>0</v>
      </c>
      <c r="AM94" s="25">
        <f>IF(Table1[[#This Row],[Adjusted_ULife_HP]]=3,VLOOKUP(Table1[[#This Row],[Item_Handpump]],[1]!Table2[#All],6,FALSE),0)</f>
        <v>0</v>
      </c>
      <c r="AN94" s="25">
        <f>IF(Table1[[#This Row],[Adjusted_ULife_PF]]=3,VLOOKUP(Table1[[#This Row],[Item_Platform]],[1]!Table2[#All],6,FALSE),0)</f>
        <v>0</v>
      </c>
      <c r="AO94" s="25">
        <f>SUM(Table1[[#This Row],[yr 3_wl]:[yr 3_pf]])</f>
        <v>0</v>
      </c>
      <c r="AP94" s="25">
        <f>IF(Table1[[#This Row],[Years_Next_Rehab_Well]]=4,VLOOKUP(Table1[[#This Row],[Item_Rehab_WL]],[1]!Table2[#All],7,FALSE),0)</f>
        <v>0</v>
      </c>
      <c r="AQ94" s="25">
        <f>IF(Table1[[#This Row],[Adjusted_ULife_HP]]=4,VLOOKUP(Table1[[#This Row],[Item_Handpump]],[1]!Table2[#All],7,FALSE),0)</f>
        <v>0</v>
      </c>
      <c r="AR94" s="25">
        <f>IF(Table1[[#This Row],[Adjusted_ULife_PF]]=4,VLOOKUP(Table1[[#This Row],[Item_Platform]],[1]!Table2[#All],7,FALSE),0)</f>
        <v>0</v>
      </c>
      <c r="AS94" s="25">
        <f>SUM(Table1[[#This Row],[yr 4_wl]:[yr 4_pf]])</f>
        <v>0</v>
      </c>
      <c r="AT94" s="25">
        <f>IF(Table1[[#This Row],[Years_Next_Rehab_Well]]=5,VLOOKUP(Table1[[#This Row],[Item_Rehab_WL]],[1]!Table2[#All],8,FALSE),0)</f>
        <v>0</v>
      </c>
      <c r="AU94" s="25">
        <f>IF(Table1[[#This Row],[Adjusted_ULife_HP]]=5,VLOOKUP(Table1[[#This Row],[Item_Handpump]],[1]!Table2[#All],8,FALSE),0)</f>
        <v>0</v>
      </c>
      <c r="AV94" s="25">
        <f>IF(Table1[[#This Row],[Adjusted_ULife_PF]]=5,VLOOKUP(Table1[[#This Row],[Item_Platform]],[1]!Table2[#All],8,FALSE),0)</f>
        <v>0</v>
      </c>
      <c r="AW94" s="25">
        <f>SUM(Table1[[#This Row],[yr 5_wl]:[yr 5_pf]])</f>
        <v>0</v>
      </c>
      <c r="AX94" s="25">
        <f>IF(Table1[[#This Row],[Years_Next_Rehab_Well]]=6,VLOOKUP(Table1[[#This Row],[Item_Rehab_WL]],[1]!Table2[#All],9,FALSE),0)</f>
        <v>0</v>
      </c>
      <c r="AY94" s="25">
        <f>IF(Table1[[#This Row],[Adjusted_ULife_HP]]=6,VLOOKUP(Table1[[#This Row],[Item_Handpump]],[1]!Table2[#All],9,FALSE),0)</f>
        <v>0</v>
      </c>
      <c r="AZ94" s="25">
        <f>IF(Table1[[#This Row],[Adjusted_ULife_PF]]=6,VLOOKUP(Table1[[#This Row],[Item_Platform]],[1]!Table2[#All],9,FALSE),0)</f>
        <v>0</v>
      </c>
      <c r="BA94" s="25">
        <f>SUM(Table1[[#This Row],[yr 6_wl]:[yr 6_pf]])</f>
        <v>0</v>
      </c>
      <c r="BB94" s="25">
        <f>IF(Table1[[#This Row],[Years_Next_Rehab_Well]]=7,VLOOKUP(Table1[[#This Row],[Item_Rehab_WL]],[1]!Table2[#All],10,FALSE),0)</f>
        <v>0</v>
      </c>
      <c r="BC94" s="25">
        <f>IF(Table1[[#This Row],[Adjusted_ULife_HP]]=7,VLOOKUP(Table1[[#This Row],[Item_Handpump]],[1]!Table2[#All],10,FALSE),0)</f>
        <v>0</v>
      </c>
      <c r="BD94" s="25">
        <f>IF(Table1[[#This Row],[Adjusted_ULife_PF]]=7,VLOOKUP(Table1[[#This Row],[Item_Platform]],[1]!Table2[#All],10,FALSE),0)</f>
        <v>0</v>
      </c>
      <c r="BE94" s="25">
        <f>SUM(Table1[[#This Row],[yr 7_wl]:[yr 7_pf]])</f>
        <v>0</v>
      </c>
      <c r="BF94" s="25">
        <f>IF(Table1[[#This Row],[Years_Next_Rehab_Well]]=8,VLOOKUP(Table1[[#This Row],[Item_Rehab_WL]],[1]!Table2[#All],11,FALSE),0)</f>
        <v>0</v>
      </c>
      <c r="BG94" s="25">
        <f>IF(Table1[[#This Row],[Adjusted_ULife_HP]]=8,VLOOKUP(Table1[[#This Row],[Item_Handpump]],[1]!Table2[#All],11,FALSE),0)</f>
        <v>0</v>
      </c>
      <c r="BH94" s="25">
        <f>IF(Table1[[#This Row],[Adjusted_ULife_PF]]=8,VLOOKUP(Table1[[#This Row],[Item_Platform]],[1]!Table2[#All],11,FALSE),0)</f>
        <v>0</v>
      </c>
      <c r="BI94" s="25">
        <f>SUM(Table1[[#This Row],[yr 8_wl]:[yr 8_pf]])</f>
        <v>0</v>
      </c>
      <c r="BJ94" s="25">
        <f>IF(Table1[[#This Row],[Years_Next_Rehab_Well]]=9,VLOOKUP(Table1[[#This Row],[Item_Rehab_WL]],[1]!Table2[#All],12,FALSE),0)</f>
        <v>0</v>
      </c>
      <c r="BK94" s="25">
        <f>IF(Table1[[#This Row],[Adjusted_ULife_HP]]=9,VLOOKUP(Table1[[#This Row],[Item_Handpump]],[1]!Table2[#All],12,FALSE),0)</f>
        <v>0</v>
      </c>
      <c r="BL94" s="25">
        <f>IF(Table1[[#This Row],[Adjusted_ULife_PF]]=9,VLOOKUP(Table1[[#This Row],[Item_Platform]],[1]!Table2[#All],12,FALSE),0)</f>
        <v>0</v>
      </c>
      <c r="BM94" s="25">
        <f>SUM(Table1[[#This Row],[yr 9_wl]:[yr 9_pf]])</f>
        <v>0</v>
      </c>
      <c r="BN94" s="25">
        <f>IF(Table1[[#This Row],[Years_Next_Rehab_Well]]=10,VLOOKUP(Table1[[#This Row],[Item_Rehab_WL]],[1]!Table2[#All],13,FALSE),0)</f>
        <v>0</v>
      </c>
      <c r="BO94" s="25">
        <f>IF(Table1[[#This Row],[Adjusted_ULife_HP]]=10,VLOOKUP(Table1[[#This Row],[Item_Handpump]],[1]!Table2[#All],13,FALSE),0)</f>
        <v>0</v>
      </c>
      <c r="BP94" s="25">
        <f>IF(Table1[[#This Row],[Adjusted_ULife_PF]]=10,VLOOKUP(Table1[[#This Row],[Item_Platform]],[1]!Table2[#All],13,FALSE),0)</f>
        <v>4658.7723125163184</v>
      </c>
      <c r="BQ94" s="25">
        <f>SUM(Table1[[#This Row],[yr 10_wl]:[yr 10_pf]])</f>
        <v>4658.7723125163184</v>
      </c>
      <c r="BR94" s="25">
        <f>IF(Table1[[#This Row],[Years_Next_Rehab_Well]]=11,VLOOKUP(Table1[[#This Row],[Item_Rehab_WL]],[1]!Table2[#All],14,FALSE),0)</f>
        <v>0</v>
      </c>
      <c r="BS94" s="25">
        <f>IF(Table1[[#This Row],[Adjusted_ULife_HP]]=11,VLOOKUP(Table1[[#This Row],[Item_Handpump]],[1]!Table2[#All],14,FALSE),0)</f>
        <v>0</v>
      </c>
      <c r="BT94" s="25">
        <f>IF(Table1[[#This Row],[Adjusted_ULife_PF]]=11,VLOOKUP(Table1[[#This Row],[Item_Platform]],[1]!Table2[#All],14,FALSE),0)</f>
        <v>0</v>
      </c>
      <c r="BU94" s="25">
        <f>SUM(Table1[[#This Row],[yr 11_wl]:[yr 11_pf]])</f>
        <v>0</v>
      </c>
      <c r="BV94" s="25">
        <f>IF(Table1[[#This Row],[Years_Next_Rehab_Well]]=12,VLOOKUP(Table1[[#This Row],[Item_Rehab_WL]],[1]!Table2[#All],15,FALSE),0)</f>
        <v>0</v>
      </c>
      <c r="BW94" s="25">
        <f>IF(Table1[[#This Row],[Adjusted_ULife_HP]]=12,VLOOKUP(Table1[[#This Row],[Item_Handpump]],[1]!Table2[#All],15,FALSE),0)</f>
        <v>0</v>
      </c>
      <c r="BX94" s="25">
        <f>IF(Table1[[#This Row],[Adjusted_ULife_PF]]=12,VLOOKUP(Table1[[#This Row],[Item_Platform]],[1]!Table2[#All],15,FALSE),0)</f>
        <v>0</v>
      </c>
      <c r="BY94" s="25">
        <f>SUM(Table1[[#This Row],[yr 12_wl]:[yr 12_pf]])</f>
        <v>0</v>
      </c>
      <c r="BZ94" s="25">
        <f>IF(Table1[[#This Row],[Years_Next_Rehab_Well]]=13,VLOOKUP(Table1[[#This Row],[Item_Rehab_WL]],[1]!Table2[#All],16,FALSE),0)</f>
        <v>0</v>
      </c>
      <c r="CA94" s="25">
        <f>IF(Table1[[#This Row],[Adjusted_ULife_HP]]=13,VLOOKUP(Table1[[#This Row],[Item_Handpump]],[1]!Table2[#All],16,FALSE),0)</f>
        <v>0</v>
      </c>
      <c r="CB94" s="25">
        <f>IF(Table1[[#This Row],[Adjusted_ULife_PF]]=13,VLOOKUP(Table1[[#This Row],[Item_Platform]],[1]!Table2[#All],16,FALSE),0)</f>
        <v>0</v>
      </c>
      <c r="CC94" s="25">
        <f>SUM(Table1[[#This Row],[yr 13_wl]:[yr 13_pf]])</f>
        <v>0</v>
      </c>
      <c r="CD94" s="12"/>
    </row>
    <row r="95" spans="1:82" s="11" customFormat="1" x14ac:dyDescent="0.25">
      <c r="A95" s="11" t="str">
        <f>IF([1]Input_monitoring_data!A91="","",[1]Input_monitoring_data!A91)</f>
        <v>gew6-p990-c813</v>
      </c>
      <c r="B95" s="22" t="str">
        <f>[1]Input_monitoring_data!BH91</f>
        <v>Gambia</v>
      </c>
      <c r="C95" s="22" t="str">
        <f>[1]Input_monitoring_data!BI91</f>
        <v>Yaa Beneagya</v>
      </c>
      <c r="D95" s="22" t="str">
        <f>[1]Input_monitoring_data!P91</f>
        <v>7.009746988259534</v>
      </c>
      <c r="E95" s="22" t="str">
        <f>[1]Input_monitoring_data!Q91</f>
        <v>-2.775603240776155</v>
      </c>
      <c r="F95" s="22" t="str">
        <f>[1]Input_monitoring_data!V91</f>
        <v>Mr Simon'sPremises</v>
      </c>
      <c r="G95" s="23" t="str">
        <f>[1]Input_monitoring_data!U91</f>
        <v>Borehole</v>
      </c>
      <c r="H95" s="22">
        <f>[1]Input_monitoring_data!X91</f>
        <v>2006</v>
      </c>
      <c r="I95" s="21" t="str">
        <f>[1]Input_monitoring_data!AB91</f>
        <v>Borehole redevelopment</v>
      </c>
      <c r="J95" s="21">
        <f>[1]Input_monitoring_data!AC91</f>
        <v>0</v>
      </c>
      <c r="K95" s="23" t="str">
        <f>[1]Input_monitoring_data!W91</f>
        <v>AfriDev</v>
      </c>
      <c r="L95" s="22">
        <f>[1]Input_monitoring_data!X91</f>
        <v>2006</v>
      </c>
      <c r="M95" s="21" t="str">
        <f>IF([1]Input_monitoring_data!BL91&gt;'Point Sources_Asset_Register_'!L95,[1]Input_monitoring_data!BL91,"")</f>
        <v/>
      </c>
      <c r="N95" s="22" t="str">
        <f>[1]Input_monitoring_data!BQ91</f>
        <v>functional</v>
      </c>
      <c r="O95" s="22">
        <f>[1]Input_monitoring_data!AJ91</f>
        <v>0</v>
      </c>
      <c r="P95" s="23" t="s">
        <v>0</v>
      </c>
      <c r="Q95" s="22">
        <f>L95</f>
        <v>2006</v>
      </c>
      <c r="R95" s="21" t="str">
        <f>M95</f>
        <v/>
      </c>
      <c r="S95" s="20">
        <f>[1]Input_EUL_CRC_ERC!$B$17-Table1[[#This Row],[Year Installed_WL]]</f>
        <v>11</v>
      </c>
      <c r="T95" s="20">
        <f>[1]Input_EUL_CRC_ERC!$B$17-(IF(Table1[[#This Row],[Year Last_Rehab_WL ]]=0,Table1[[#This Row],[Year Installed_WL]],[1]Input_EUL_CRC_ERC!$B$17-Table1[[#This Row],[Year Last_Rehab_WL ]]))</f>
        <v>11</v>
      </c>
      <c r="U95" s="20">
        <f>(VLOOKUP(Table1[[#This Row],[Item_Rehab_WL]],[1]Input_EUL_CRC_ERC!$C$17:$E$27,2,FALSE)-Table1[[#This Row],[Last Rehab Age]])</f>
        <v>4</v>
      </c>
      <c r="V95" s="19">
        <f>[1]Input_EUL_CRC_ERC!$B$17-Table1[[#This Row],[Year Installed_HP]]</f>
        <v>11</v>
      </c>
      <c r="W95" s="19">
        <f>(VLOOKUP(Table1[[#This Row],[Item_Handpump]],[1]!Table2[#All],2,FALSE))-(IF(Table1[[#This Row],[Year Last_Rehab_HP]]="",Table1[[#This Row],[Current Age_Handpump]],[1]Input_EUL_CRC_ERC!$B$17-Table1[[#This Row],[Year Last_Rehab_HP]]))</f>
        <v>9</v>
      </c>
      <c r="X95" s="19">
        <f>[1]Input_EUL_CRC_ERC!$B$17-Table1[[#This Row],[Year Installed_PF]]</f>
        <v>11</v>
      </c>
      <c r="Y95" s="19">
        <f>(VLOOKUP(Table1[[#This Row],[Item_Platform]],[1]!Table2[#All],2,FALSE))-(IF(Table1[[#This Row],[Year Last_Rehab_PF]]="",Table1[[#This Row],[Current Age_Platform]],[1]Input_EUL_CRC_ERC!$B$17-Table1[[#This Row],[Year Last_Rehab_PF]]))</f>
        <v>-1</v>
      </c>
      <c r="Z95" s="25">
        <f>IF(Table1[[#This Row],[Years_Next_Rehab_Well]]&lt;=0,VLOOKUP(Table1[[#This Row],[Item_Rehab_WL]],[1]!Table2[#All],3,FALSE),0)</f>
        <v>0</v>
      </c>
      <c r="AA95" s="18">
        <f>IF(Table1[[#This Row],[Adjusted_ULife_HP]]&lt;=0,VLOOKUP(Table1[[#This Row],[Item_Handpump]],[1]!Table2[#All],3,FALSE),0)</f>
        <v>0</v>
      </c>
      <c r="AB95" s="18">
        <f>IF(Table1[[#This Row],[Adjusted_ULife_PF]]&lt;=0,VLOOKUP(Table1[[#This Row],[Item_Platform]],[1]!Table2[#All],3,FALSE),0)</f>
        <v>1500</v>
      </c>
      <c r="AC95" s="18">
        <f>SUM(Table1[[#This Row],[current yr_wl]:[current yr_pf]])</f>
        <v>1500</v>
      </c>
      <c r="AD95" s="25">
        <f>IF(Table1[[#This Row],[Years_Next_Rehab_Well]]=1,VLOOKUP(Table1[[#This Row],[Item_Rehab_WL]],[1]!Table2[#All],4,FALSE),0)</f>
        <v>0</v>
      </c>
      <c r="AE95" s="25">
        <f>IF(Table1[[#This Row],[Adjusted_ULife_HP]]=1,VLOOKUP(Table1[[#This Row],[Item_Handpump]],[1]!Table2[#All],4,FALSE),0)</f>
        <v>0</v>
      </c>
      <c r="AF95" s="25">
        <f>IF(Table1[[#This Row],[Adjusted_ULife_PF]]=1,VLOOKUP(Table1[[#This Row],[Item_Platform]],[1]!Table2[#All],4,FALSE),0)</f>
        <v>0</v>
      </c>
      <c r="AG95" s="25">
        <f>SUM(Table1[[#This Row],[yr 1_wl]:[yr 1_pf]])</f>
        <v>0</v>
      </c>
      <c r="AH95" s="25">
        <f>IF(Table1[[#This Row],[Years_Next_Rehab_Well]]=2,VLOOKUP(Table1[[#This Row],[Item_Rehab_WL]],[1]!Table2[#All],5,FALSE),0)</f>
        <v>0</v>
      </c>
      <c r="AI95" s="25">
        <f>IF(Table1[[#This Row],[Adjusted_ULife_HP]]=2,VLOOKUP(Table1[[#This Row],[Item_Handpump]],[1]!Table2[#All],5,FALSE),0)</f>
        <v>0</v>
      </c>
      <c r="AJ95" s="25">
        <f>IF(Table1[[#This Row],[Adjusted_ULife_PF]]=2,VLOOKUP(Table1[[#This Row],[Item_Platform]],[1]!Table2[#All],5,FALSE),0)</f>
        <v>0</v>
      </c>
      <c r="AK95" s="25">
        <f>SUM(Table1[[#This Row],[yr 2_wl]:[yr 2_pf]])</f>
        <v>0</v>
      </c>
      <c r="AL95" s="25">
        <f>IF(Table1[[#This Row],[Years_Next_Rehab_Well]]=3,VLOOKUP(Table1[[#This Row],[Item_Rehab_WL]],[1]!Table2[#All],6,FALSE),0)</f>
        <v>0</v>
      </c>
      <c r="AM95" s="25">
        <f>IF(Table1[[#This Row],[Adjusted_ULife_HP]]=3,VLOOKUP(Table1[[#This Row],[Item_Handpump]],[1]!Table2[#All],6,FALSE),0)</f>
        <v>0</v>
      </c>
      <c r="AN95" s="25">
        <f>IF(Table1[[#This Row],[Adjusted_ULife_PF]]=3,VLOOKUP(Table1[[#This Row],[Item_Platform]],[1]!Table2[#All],6,FALSE),0)</f>
        <v>0</v>
      </c>
      <c r="AO95" s="25">
        <f>SUM(Table1[[#This Row],[yr 3_wl]:[yr 3_pf]])</f>
        <v>0</v>
      </c>
      <c r="AP95" s="25">
        <f>IF(Table1[[#This Row],[Years_Next_Rehab_Well]]=4,VLOOKUP(Table1[[#This Row],[Item_Rehab_WL]],[1]!Table2[#All],7,FALSE),0)</f>
        <v>5769.5709866666684</v>
      </c>
      <c r="AQ95" s="25">
        <f>IF(Table1[[#This Row],[Adjusted_ULife_HP]]=4,VLOOKUP(Table1[[#This Row],[Item_Handpump]],[1]!Table2[#All],7,FALSE),0)</f>
        <v>0</v>
      </c>
      <c r="AR95" s="25">
        <f>IF(Table1[[#This Row],[Adjusted_ULife_PF]]=4,VLOOKUP(Table1[[#This Row],[Item_Platform]],[1]!Table2[#All],7,FALSE),0)</f>
        <v>0</v>
      </c>
      <c r="AS95" s="25">
        <f>SUM(Table1[[#This Row],[yr 4_wl]:[yr 4_pf]])</f>
        <v>5769.5709866666684</v>
      </c>
      <c r="AT95" s="25">
        <f>IF(Table1[[#This Row],[Years_Next_Rehab_Well]]=5,VLOOKUP(Table1[[#This Row],[Item_Rehab_WL]],[1]!Table2[#All],8,FALSE),0)</f>
        <v>0</v>
      </c>
      <c r="AU95" s="25">
        <f>IF(Table1[[#This Row],[Adjusted_ULife_HP]]=5,VLOOKUP(Table1[[#This Row],[Item_Handpump]],[1]!Table2[#All],8,FALSE),0)</f>
        <v>0</v>
      </c>
      <c r="AV95" s="25">
        <f>IF(Table1[[#This Row],[Adjusted_ULife_PF]]=5,VLOOKUP(Table1[[#This Row],[Item_Platform]],[1]!Table2[#All],8,FALSE),0)</f>
        <v>0</v>
      </c>
      <c r="AW95" s="25">
        <f>SUM(Table1[[#This Row],[yr 5_wl]:[yr 5_pf]])</f>
        <v>0</v>
      </c>
      <c r="AX95" s="25">
        <f>IF(Table1[[#This Row],[Years_Next_Rehab_Well]]=6,VLOOKUP(Table1[[#This Row],[Item_Rehab_WL]],[1]!Table2[#All],9,FALSE),0)</f>
        <v>0</v>
      </c>
      <c r="AY95" s="25">
        <f>IF(Table1[[#This Row],[Adjusted_ULife_HP]]=6,VLOOKUP(Table1[[#This Row],[Item_Handpump]],[1]!Table2[#All],9,FALSE),0)</f>
        <v>0</v>
      </c>
      <c r="AZ95" s="25">
        <f>IF(Table1[[#This Row],[Adjusted_ULife_PF]]=6,VLOOKUP(Table1[[#This Row],[Item_Platform]],[1]!Table2[#All],9,FALSE),0)</f>
        <v>0</v>
      </c>
      <c r="BA95" s="25">
        <f>SUM(Table1[[#This Row],[yr 6_wl]:[yr 6_pf]])</f>
        <v>0</v>
      </c>
      <c r="BB95" s="25">
        <f>IF(Table1[[#This Row],[Years_Next_Rehab_Well]]=7,VLOOKUP(Table1[[#This Row],[Item_Rehab_WL]],[1]!Table2[#All],10,FALSE),0)</f>
        <v>0</v>
      </c>
      <c r="BC95" s="25">
        <f>IF(Table1[[#This Row],[Adjusted_ULife_HP]]=7,VLOOKUP(Table1[[#This Row],[Item_Handpump]],[1]!Table2[#All],10,FALSE),0)</f>
        <v>0</v>
      </c>
      <c r="BD95" s="25">
        <f>IF(Table1[[#This Row],[Adjusted_ULife_PF]]=7,VLOOKUP(Table1[[#This Row],[Item_Platform]],[1]!Table2[#All],10,FALSE),0)</f>
        <v>0</v>
      </c>
      <c r="BE95" s="25">
        <f>SUM(Table1[[#This Row],[yr 7_wl]:[yr 7_pf]])</f>
        <v>0</v>
      </c>
      <c r="BF95" s="25">
        <f>IF(Table1[[#This Row],[Years_Next_Rehab_Well]]=8,VLOOKUP(Table1[[#This Row],[Item_Rehab_WL]],[1]!Table2[#All],11,FALSE),0)</f>
        <v>0</v>
      </c>
      <c r="BG95" s="25">
        <f>IF(Table1[[#This Row],[Adjusted_ULife_HP]]=8,VLOOKUP(Table1[[#This Row],[Item_Handpump]],[1]!Table2[#All],11,FALSE),0)</f>
        <v>0</v>
      </c>
      <c r="BH95" s="25">
        <f>IF(Table1[[#This Row],[Adjusted_ULife_PF]]=8,VLOOKUP(Table1[[#This Row],[Item_Platform]],[1]!Table2[#All],11,FALSE),0)</f>
        <v>0</v>
      </c>
      <c r="BI95" s="25">
        <f>SUM(Table1[[#This Row],[yr 8_wl]:[yr 8_pf]])</f>
        <v>0</v>
      </c>
      <c r="BJ95" s="25">
        <f>IF(Table1[[#This Row],[Years_Next_Rehab_Well]]=9,VLOOKUP(Table1[[#This Row],[Item_Rehab_WL]],[1]!Table2[#All],12,FALSE),0)</f>
        <v>0</v>
      </c>
      <c r="BK95" s="25">
        <f>IF(Table1[[#This Row],[Adjusted_ULife_HP]]=9,VLOOKUP(Table1[[#This Row],[Item_Handpump]],[1]!Table2[#All],12,FALSE),0)</f>
        <v>1109.2315029800754</v>
      </c>
      <c r="BL95" s="25">
        <f>IF(Table1[[#This Row],[Adjusted_ULife_PF]]=9,VLOOKUP(Table1[[#This Row],[Item_Platform]],[1]!Table2[#All],12,FALSE),0)</f>
        <v>0</v>
      </c>
      <c r="BM95" s="25">
        <f>SUM(Table1[[#This Row],[yr 9_wl]:[yr 9_pf]])</f>
        <v>1109.2315029800754</v>
      </c>
      <c r="BN95" s="25">
        <f>IF(Table1[[#This Row],[Years_Next_Rehab_Well]]=10,VLOOKUP(Table1[[#This Row],[Item_Rehab_WL]],[1]!Table2[#All],13,FALSE),0)</f>
        <v>0</v>
      </c>
      <c r="BO95" s="25">
        <f>IF(Table1[[#This Row],[Adjusted_ULife_HP]]=10,VLOOKUP(Table1[[#This Row],[Item_Handpump]],[1]!Table2[#All],13,FALSE),0)</f>
        <v>0</v>
      </c>
      <c r="BP95" s="25">
        <f>IF(Table1[[#This Row],[Adjusted_ULife_PF]]=10,VLOOKUP(Table1[[#This Row],[Item_Platform]],[1]!Table2[#All],13,FALSE),0)</f>
        <v>0</v>
      </c>
      <c r="BQ95" s="25">
        <f>SUM(Table1[[#This Row],[yr 10_wl]:[yr 10_pf]])</f>
        <v>0</v>
      </c>
      <c r="BR95" s="25">
        <f>IF(Table1[[#This Row],[Years_Next_Rehab_Well]]=11,VLOOKUP(Table1[[#This Row],[Item_Rehab_WL]],[1]!Table2[#All],14,FALSE),0)</f>
        <v>0</v>
      </c>
      <c r="BS95" s="25">
        <f>IF(Table1[[#This Row],[Adjusted_ULife_HP]]=11,VLOOKUP(Table1[[#This Row],[Item_Handpump]],[1]!Table2[#All],14,FALSE),0)</f>
        <v>0</v>
      </c>
      <c r="BT95" s="25">
        <f>IF(Table1[[#This Row],[Adjusted_ULife_PF]]=11,VLOOKUP(Table1[[#This Row],[Item_Platform]],[1]!Table2[#All],14,FALSE),0)</f>
        <v>0</v>
      </c>
      <c r="BU95" s="25">
        <f>SUM(Table1[[#This Row],[yr 11_wl]:[yr 11_pf]])</f>
        <v>0</v>
      </c>
      <c r="BV95" s="25">
        <f>IF(Table1[[#This Row],[Years_Next_Rehab_Well]]=12,VLOOKUP(Table1[[#This Row],[Item_Rehab_WL]],[1]!Table2[#All],15,FALSE),0)</f>
        <v>0</v>
      </c>
      <c r="BW95" s="25">
        <f>IF(Table1[[#This Row],[Adjusted_ULife_HP]]=12,VLOOKUP(Table1[[#This Row],[Item_Handpump]],[1]!Table2[#All],15,FALSE),0)</f>
        <v>0</v>
      </c>
      <c r="BX95" s="25">
        <f>IF(Table1[[#This Row],[Adjusted_ULife_PF]]=12,VLOOKUP(Table1[[#This Row],[Item_Platform]],[1]!Table2[#All],15,FALSE),0)</f>
        <v>0</v>
      </c>
      <c r="BY95" s="25">
        <f>SUM(Table1[[#This Row],[yr 12_wl]:[yr 12_pf]])</f>
        <v>0</v>
      </c>
      <c r="BZ95" s="25">
        <f>IF(Table1[[#This Row],[Years_Next_Rehab_Well]]=13,VLOOKUP(Table1[[#This Row],[Item_Rehab_WL]],[1]!Table2[#All],16,FALSE),0)</f>
        <v>0</v>
      </c>
      <c r="CA95" s="25">
        <f>IF(Table1[[#This Row],[Adjusted_ULife_HP]]=13,VLOOKUP(Table1[[#This Row],[Item_Handpump]],[1]!Table2[#All],16,FALSE),0)</f>
        <v>0</v>
      </c>
      <c r="CB95" s="25">
        <f>IF(Table1[[#This Row],[Adjusted_ULife_PF]]=13,VLOOKUP(Table1[[#This Row],[Item_Platform]],[1]!Table2[#All],16,FALSE),0)</f>
        <v>0</v>
      </c>
      <c r="CC95" s="25">
        <f>SUM(Table1[[#This Row],[yr 13_wl]:[yr 13_pf]])</f>
        <v>0</v>
      </c>
      <c r="CD95" s="12"/>
    </row>
    <row r="96" spans="1:82" s="11" customFormat="1" x14ac:dyDescent="0.25">
      <c r="A96" s="11" t="str">
        <f>IF([1]Input_monitoring_data!A92="","",[1]Input_monitoring_data!A92)</f>
        <v>ghxd-pchd-b0pn</v>
      </c>
      <c r="B96" s="22" t="str">
        <f>[1]Input_monitoring_data!BH92</f>
        <v>Goamu</v>
      </c>
      <c r="C96" s="22" t="str">
        <f>[1]Input_monitoring_data!BI92</f>
        <v>Kenyasi No.1 Akuraa</v>
      </c>
      <c r="D96" s="22" t="str">
        <f>[1]Input_monitoring_data!P92</f>
        <v>7.025774672931498</v>
      </c>
      <c r="E96" s="22" t="str">
        <f>[1]Input_monitoring_data!Q92</f>
        <v>-2.467981860508871</v>
      </c>
      <c r="F96" s="22" t="str">
        <f>[1]Input_monitoring_data!V92</f>
        <v>Behind Mallam Seidu's House</v>
      </c>
      <c r="G96" s="23" t="str">
        <f>[1]Input_monitoring_data!U92</f>
        <v>Borehole</v>
      </c>
      <c r="H96" s="22">
        <f>[1]Input_monitoring_data!X92</f>
        <v>2012</v>
      </c>
      <c r="I96" s="21" t="str">
        <f>[1]Input_monitoring_data!AB92</f>
        <v>Borehole redevelopment</v>
      </c>
      <c r="J96" s="21">
        <f>[1]Input_monitoring_data!AC92</f>
        <v>0</v>
      </c>
      <c r="K96" s="23" t="str">
        <f>[1]Input_monitoring_data!W92</f>
        <v>AfriDev</v>
      </c>
      <c r="L96" s="22">
        <f>[1]Input_monitoring_data!X92</f>
        <v>2012</v>
      </c>
      <c r="M96" s="21">
        <f>IF([1]Input_monitoring_data!BL92&gt;'Point Sources_Asset_Register_'!L96,[1]Input_monitoring_data!BL92,"")</f>
        <v>2016</v>
      </c>
      <c r="N96" s="22" t="str">
        <f>[1]Input_monitoring_data!BQ92</f>
        <v>partially functional</v>
      </c>
      <c r="O96" s="22">
        <f>[1]Input_monitoring_data!AJ92</f>
        <v>0</v>
      </c>
      <c r="P96" s="23" t="s">
        <v>0</v>
      </c>
      <c r="Q96" s="22">
        <f>L96</f>
        <v>2012</v>
      </c>
      <c r="R96" s="21">
        <f>M96</f>
        <v>2016</v>
      </c>
      <c r="S96" s="20">
        <f>[1]Input_EUL_CRC_ERC!$B$17-Table1[[#This Row],[Year Installed_WL]]</f>
        <v>5</v>
      </c>
      <c r="T96" s="20">
        <f>[1]Input_EUL_CRC_ERC!$B$17-(IF(Table1[[#This Row],[Year Last_Rehab_WL ]]=0,Table1[[#This Row],[Year Installed_WL]],[1]Input_EUL_CRC_ERC!$B$17-Table1[[#This Row],[Year Last_Rehab_WL ]]))</f>
        <v>5</v>
      </c>
      <c r="U96" s="20">
        <f>(VLOOKUP(Table1[[#This Row],[Item_Rehab_WL]],[1]Input_EUL_CRC_ERC!$C$17:$E$27,2,FALSE)-Table1[[#This Row],[Last Rehab Age]])</f>
        <v>10</v>
      </c>
      <c r="V96" s="19">
        <f>[1]Input_EUL_CRC_ERC!$B$17-Table1[[#This Row],[Year Installed_HP]]</f>
        <v>5</v>
      </c>
      <c r="W96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96" s="19">
        <f>[1]Input_EUL_CRC_ERC!$B$17-Table1[[#This Row],[Year Installed_PF]]</f>
        <v>5</v>
      </c>
      <c r="Y96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96" s="25">
        <f>IF(Table1[[#This Row],[Years_Next_Rehab_Well]]&lt;=0,VLOOKUP(Table1[[#This Row],[Item_Rehab_WL]],[1]!Table2[#All],3,FALSE),0)</f>
        <v>0</v>
      </c>
      <c r="AA96" s="18">
        <f>IF(Table1[[#This Row],[Adjusted_ULife_HP]]&lt;=0,VLOOKUP(Table1[[#This Row],[Item_Handpump]],[1]!Table2[#All],3,FALSE),0)</f>
        <v>0</v>
      </c>
      <c r="AB96" s="18">
        <f>IF(Table1[[#This Row],[Adjusted_ULife_PF]]&lt;=0,VLOOKUP(Table1[[#This Row],[Item_Platform]],[1]!Table2[#All],3,FALSE),0)</f>
        <v>0</v>
      </c>
      <c r="AC96" s="18">
        <f>SUM(Table1[[#This Row],[current yr_wl]:[current yr_pf]])</f>
        <v>0</v>
      </c>
      <c r="AD96" s="25">
        <f>IF(Table1[[#This Row],[Years_Next_Rehab_Well]]=1,VLOOKUP(Table1[[#This Row],[Item_Rehab_WL]],[1]!Table2[#All],4,FALSE),0)</f>
        <v>0</v>
      </c>
      <c r="AE96" s="25">
        <f>IF(Table1[[#This Row],[Adjusted_ULife_HP]]=1,VLOOKUP(Table1[[#This Row],[Item_Handpump]],[1]!Table2[#All],4,FALSE),0)</f>
        <v>0</v>
      </c>
      <c r="AF96" s="25">
        <f>IF(Table1[[#This Row],[Adjusted_ULife_PF]]=1,VLOOKUP(Table1[[#This Row],[Item_Platform]],[1]!Table2[#All],4,FALSE),0)</f>
        <v>0</v>
      </c>
      <c r="AG96" s="25">
        <f>SUM(Table1[[#This Row],[yr 1_wl]:[yr 1_pf]])</f>
        <v>0</v>
      </c>
      <c r="AH96" s="25">
        <f>IF(Table1[[#This Row],[Years_Next_Rehab_Well]]=2,VLOOKUP(Table1[[#This Row],[Item_Rehab_WL]],[1]!Table2[#All],5,FALSE),0)</f>
        <v>0</v>
      </c>
      <c r="AI96" s="25">
        <f>IF(Table1[[#This Row],[Adjusted_ULife_HP]]=2,VLOOKUP(Table1[[#This Row],[Item_Handpump]],[1]!Table2[#All],5,FALSE),0)</f>
        <v>0</v>
      </c>
      <c r="AJ96" s="25">
        <f>IF(Table1[[#This Row],[Adjusted_ULife_PF]]=2,VLOOKUP(Table1[[#This Row],[Item_Platform]],[1]!Table2[#All],5,FALSE),0)</f>
        <v>0</v>
      </c>
      <c r="AK96" s="25">
        <f>SUM(Table1[[#This Row],[yr 2_wl]:[yr 2_pf]])</f>
        <v>0</v>
      </c>
      <c r="AL96" s="25">
        <f>IF(Table1[[#This Row],[Years_Next_Rehab_Well]]=3,VLOOKUP(Table1[[#This Row],[Item_Rehab_WL]],[1]!Table2[#All],6,FALSE),0)</f>
        <v>0</v>
      </c>
      <c r="AM96" s="25">
        <f>IF(Table1[[#This Row],[Adjusted_ULife_HP]]=3,VLOOKUP(Table1[[#This Row],[Item_Handpump]],[1]!Table2[#All],6,FALSE),0)</f>
        <v>0</v>
      </c>
      <c r="AN96" s="25">
        <f>IF(Table1[[#This Row],[Adjusted_ULife_PF]]=3,VLOOKUP(Table1[[#This Row],[Item_Platform]],[1]!Table2[#All],6,FALSE),0)</f>
        <v>0</v>
      </c>
      <c r="AO96" s="25">
        <f>SUM(Table1[[#This Row],[yr 3_wl]:[yr 3_pf]])</f>
        <v>0</v>
      </c>
      <c r="AP96" s="25">
        <f>IF(Table1[[#This Row],[Years_Next_Rehab_Well]]=4,VLOOKUP(Table1[[#This Row],[Item_Rehab_WL]],[1]!Table2[#All],7,FALSE),0)</f>
        <v>0</v>
      </c>
      <c r="AQ96" s="25">
        <f>IF(Table1[[#This Row],[Adjusted_ULife_HP]]=4,VLOOKUP(Table1[[#This Row],[Item_Handpump]],[1]!Table2[#All],7,FALSE),0)</f>
        <v>0</v>
      </c>
      <c r="AR96" s="25">
        <f>IF(Table1[[#This Row],[Adjusted_ULife_PF]]=4,VLOOKUP(Table1[[#This Row],[Item_Platform]],[1]!Table2[#All],7,FALSE),0)</f>
        <v>0</v>
      </c>
      <c r="AS96" s="25">
        <f>SUM(Table1[[#This Row],[yr 4_wl]:[yr 4_pf]])</f>
        <v>0</v>
      </c>
      <c r="AT96" s="25">
        <f>IF(Table1[[#This Row],[Years_Next_Rehab_Well]]=5,VLOOKUP(Table1[[#This Row],[Item_Rehab_WL]],[1]!Table2[#All],8,FALSE),0)</f>
        <v>0</v>
      </c>
      <c r="AU96" s="25">
        <f>IF(Table1[[#This Row],[Adjusted_ULife_HP]]=5,VLOOKUP(Table1[[#This Row],[Item_Handpump]],[1]!Table2[#All],8,FALSE),0)</f>
        <v>0</v>
      </c>
      <c r="AV96" s="25">
        <f>IF(Table1[[#This Row],[Adjusted_ULife_PF]]=5,VLOOKUP(Table1[[#This Row],[Item_Platform]],[1]!Table2[#All],8,FALSE),0)</f>
        <v>0</v>
      </c>
      <c r="AW96" s="25">
        <f>SUM(Table1[[#This Row],[yr 5_wl]:[yr 5_pf]])</f>
        <v>0</v>
      </c>
      <c r="AX96" s="25">
        <f>IF(Table1[[#This Row],[Years_Next_Rehab_Well]]=6,VLOOKUP(Table1[[#This Row],[Item_Rehab_WL]],[1]!Table2[#All],9,FALSE),0)</f>
        <v>0</v>
      </c>
      <c r="AY96" s="25">
        <f>IF(Table1[[#This Row],[Adjusted_ULife_HP]]=6,VLOOKUP(Table1[[#This Row],[Item_Handpump]],[1]!Table2[#All],9,FALSE),0)</f>
        <v>0</v>
      </c>
      <c r="AZ96" s="25">
        <f>IF(Table1[[#This Row],[Adjusted_ULife_PF]]=6,VLOOKUP(Table1[[#This Row],[Item_Platform]],[1]!Table2[#All],9,FALSE),0)</f>
        <v>0</v>
      </c>
      <c r="BA96" s="25">
        <f>SUM(Table1[[#This Row],[yr 6_wl]:[yr 6_pf]])</f>
        <v>0</v>
      </c>
      <c r="BB96" s="25">
        <f>IF(Table1[[#This Row],[Years_Next_Rehab_Well]]=7,VLOOKUP(Table1[[#This Row],[Item_Rehab_WL]],[1]!Table2[#All],10,FALSE),0)</f>
        <v>0</v>
      </c>
      <c r="BC96" s="25">
        <f>IF(Table1[[#This Row],[Adjusted_ULife_HP]]=7,VLOOKUP(Table1[[#This Row],[Item_Handpump]],[1]!Table2[#All],10,FALSE),0)</f>
        <v>0</v>
      </c>
      <c r="BD96" s="25">
        <f>IF(Table1[[#This Row],[Adjusted_ULife_PF]]=7,VLOOKUP(Table1[[#This Row],[Item_Platform]],[1]!Table2[#All],10,FALSE),0)</f>
        <v>0</v>
      </c>
      <c r="BE96" s="25">
        <f>SUM(Table1[[#This Row],[yr 7_wl]:[yr 7_pf]])</f>
        <v>0</v>
      </c>
      <c r="BF96" s="25">
        <f>IF(Table1[[#This Row],[Years_Next_Rehab_Well]]=8,VLOOKUP(Table1[[#This Row],[Item_Rehab_WL]],[1]!Table2[#All],11,FALSE),0)</f>
        <v>0</v>
      </c>
      <c r="BG96" s="25">
        <f>IF(Table1[[#This Row],[Adjusted_ULife_HP]]=8,VLOOKUP(Table1[[#This Row],[Item_Handpump]],[1]!Table2[#All],11,FALSE),0)</f>
        <v>0</v>
      </c>
      <c r="BH96" s="25">
        <f>IF(Table1[[#This Row],[Adjusted_ULife_PF]]=8,VLOOKUP(Table1[[#This Row],[Item_Platform]],[1]!Table2[#All],11,FALSE),0)</f>
        <v>0</v>
      </c>
      <c r="BI96" s="25">
        <f>SUM(Table1[[#This Row],[yr 8_wl]:[yr 8_pf]])</f>
        <v>0</v>
      </c>
      <c r="BJ96" s="25">
        <f>IF(Table1[[#This Row],[Years_Next_Rehab_Well]]=9,VLOOKUP(Table1[[#This Row],[Item_Rehab_WL]],[1]!Table2[#All],12,FALSE),0)</f>
        <v>0</v>
      </c>
      <c r="BK96" s="25">
        <f>IF(Table1[[#This Row],[Adjusted_ULife_HP]]=9,VLOOKUP(Table1[[#This Row],[Item_Handpump]],[1]!Table2[#All],12,FALSE),0)</f>
        <v>0</v>
      </c>
      <c r="BL96" s="25">
        <f>IF(Table1[[#This Row],[Adjusted_ULife_PF]]=9,VLOOKUP(Table1[[#This Row],[Item_Platform]],[1]!Table2[#All],12,FALSE),0)</f>
        <v>4159.6181361752842</v>
      </c>
      <c r="BM96" s="25">
        <f>SUM(Table1[[#This Row],[yr 9_wl]:[yr 9_pf]])</f>
        <v>4159.6181361752842</v>
      </c>
      <c r="BN96" s="25">
        <f>IF(Table1[[#This Row],[Years_Next_Rehab_Well]]=10,VLOOKUP(Table1[[#This Row],[Item_Rehab_WL]],[1]!Table2[#All],13,FALSE),0)</f>
        <v>11388.110097262112</v>
      </c>
      <c r="BO96" s="25">
        <f>IF(Table1[[#This Row],[Adjusted_ULife_HP]]=10,VLOOKUP(Table1[[#This Row],[Item_Handpump]],[1]!Table2[#All],13,FALSE),0)</f>
        <v>0</v>
      </c>
      <c r="BP96" s="25">
        <f>IF(Table1[[#This Row],[Adjusted_ULife_PF]]=10,VLOOKUP(Table1[[#This Row],[Item_Platform]],[1]!Table2[#All],13,FALSE),0)</f>
        <v>0</v>
      </c>
      <c r="BQ96" s="25">
        <f>SUM(Table1[[#This Row],[yr 10_wl]:[yr 10_pf]])</f>
        <v>11388.110097262112</v>
      </c>
      <c r="BR96" s="25">
        <f>IF(Table1[[#This Row],[Years_Next_Rehab_Well]]=11,VLOOKUP(Table1[[#This Row],[Item_Rehab_WL]],[1]!Table2[#All],14,FALSE),0)</f>
        <v>0</v>
      </c>
      <c r="BS96" s="25">
        <f>IF(Table1[[#This Row],[Adjusted_ULife_HP]]=11,VLOOKUP(Table1[[#This Row],[Item_Handpump]],[1]!Table2[#All],14,FALSE),0)</f>
        <v>0</v>
      </c>
      <c r="BT96" s="25">
        <f>IF(Table1[[#This Row],[Adjusted_ULife_PF]]=11,VLOOKUP(Table1[[#This Row],[Item_Platform]],[1]!Table2[#All],14,FALSE),0)</f>
        <v>0</v>
      </c>
      <c r="BU96" s="25">
        <f>SUM(Table1[[#This Row],[yr 11_wl]:[yr 11_pf]])</f>
        <v>0</v>
      </c>
      <c r="BV96" s="25">
        <f>IF(Table1[[#This Row],[Years_Next_Rehab_Well]]=12,VLOOKUP(Table1[[#This Row],[Item_Rehab_WL]],[1]!Table2[#All],15,FALSE),0)</f>
        <v>0</v>
      </c>
      <c r="BW96" s="25">
        <f>IF(Table1[[#This Row],[Adjusted_ULife_HP]]=12,VLOOKUP(Table1[[#This Row],[Item_Handpump]],[1]!Table2[#All],15,FALSE),0)</f>
        <v>0</v>
      </c>
      <c r="BX96" s="25">
        <f>IF(Table1[[#This Row],[Adjusted_ULife_PF]]=12,VLOOKUP(Table1[[#This Row],[Item_Platform]],[1]!Table2[#All],15,FALSE),0)</f>
        <v>0</v>
      </c>
      <c r="BY96" s="25">
        <f>SUM(Table1[[#This Row],[yr 12_wl]:[yr 12_pf]])</f>
        <v>0</v>
      </c>
      <c r="BZ96" s="25">
        <f>IF(Table1[[#This Row],[Years_Next_Rehab_Well]]=13,VLOOKUP(Table1[[#This Row],[Item_Rehab_WL]],[1]!Table2[#All],16,FALSE),0)</f>
        <v>0</v>
      </c>
      <c r="CA96" s="25">
        <f>IF(Table1[[#This Row],[Adjusted_ULife_HP]]=13,VLOOKUP(Table1[[#This Row],[Item_Handpump]],[1]!Table2[#All],16,FALSE),0)</f>
        <v>0</v>
      </c>
      <c r="CB96" s="25">
        <f>IF(Table1[[#This Row],[Adjusted_ULife_PF]]=13,VLOOKUP(Table1[[#This Row],[Item_Platform]],[1]!Table2[#All],16,FALSE),0)</f>
        <v>0</v>
      </c>
      <c r="CC96" s="25">
        <f>SUM(Table1[[#This Row],[yr 13_wl]:[yr 13_pf]])</f>
        <v>0</v>
      </c>
      <c r="CD96" s="12"/>
    </row>
    <row r="97" spans="1:82" s="11" customFormat="1" x14ac:dyDescent="0.25">
      <c r="A97" s="11" t="str">
        <f>IF([1]Input_monitoring_data!A93="","",[1]Input_monitoring_data!A93)</f>
        <v>gmrm-bc3t-vnn0</v>
      </c>
      <c r="B97" s="22" t="str">
        <f>[1]Input_monitoring_data!BH93</f>
        <v>Ntotroso</v>
      </c>
      <c r="C97" s="22" t="str">
        <f>[1]Input_monitoring_data!BI93</f>
        <v>Nichiama</v>
      </c>
      <c r="D97" s="22" t="str">
        <f>[1]Input_monitoring_data!P93</f>
        <v>7.138791161340516</v>
      </c>
      <c r="E97" s="22" t="str">
        <f>[1]Input_monitoring_data!Q93</f>
        <v>-2.329524342537526</v>
      </c>
      <c r="F97" s="22" t="str">
        <f>[1]Input_monitoring_data!V93</f>
        <v>Infront Of The Cocoa Shed</v>
      </c>
      <c r="G97" s="23" t="str">
        <f>[1]Input_monitoring_data!U93</f>
        <v>Borehole</v>
      </c>
      <c r="H97" s="22">
        <f>[1]Input_monitoring_data!X93</f>
        <v>2009</v>
      </c>
      <c r="I97" s="21" t="str">
        <f>[1]Input_monitoring_data!AB93</f>
        <v>Borehole redevelopment</v>
      </c>
      <c r="J97" s="21">
        <f>[1]Input_monitoring_data!AC93</f>
        <v>0</v>
      </c>
      <c r="K97" s="23" t="str">
        <f>[1]Input_monitoring_data!W93</f>
        <v>AfriDev</v>
      </c>
      <c r="L97" s="22">
        <f>[1]Input_monitoring_data!X93</f>
        <v>2009</v>
      </c>
      <c r="M97" s="21">
        <f>IF([1]Input_monitoring_data!BL93&gt;'Point Sources_Asset_Register_'!L97,[1]Input_monitoring_data!BL93,"")</f>
        <v>2014</v>
      </c>
      <c r="N97" s="22" t="str">
        <f>[1]Input_monitoring_data!BQ93</f>
        <v>partially functional</v>
      </c>
      <c r="O97" s="22">
        <f>[1]Input_monitoring_data!AJ93</f>
        <v>0</v>
      </c>
      <c r="P97" s="23" t="s">
        <v>0</v>
      </c>
      <c r="Q97" s="22">
        <f>L97</f>
        <v>2009</v>
      </c>
      <c r="R97" s="21">
        <f>M97</f>
        <v>2014</v>
      </c>
      <c r="S97" s="20">
        <f>[1]Input_EUL_CRC_ERC!$B$17-Table1[[#This Row],[Year Installed_WL]]</f>
        <v>8</v>
      </c>
      <c r="T97" s="20">
        <f>[1]Input_EUL_CRC_ERC!$B$17-(IF(Table1[[#This Row],[Year Last_Rehab_WL ]]=0,Table1[[#This Row],[Year Installed_WL]],[1]Input_EUL_CRC_ERC!$B$17-Table1[[#This Row],[Year Last_Rehab_WL ]]))</f>
        <v>8</v>
      </c>
      <c r="U97" s="20">
        <f>(VLOOKUP(Table1[[#This Row],[Item_Rehab_WL]],[1]Input_EUL_CRC_ERC!$C$17:$E$27,2,FALSE)-Table1[[#This Row],[Last Rehab Age]])</f>
        <v>7</v>
      </c>
      <c r="V97" s="19">
        <f>[1]Input_EUL_CRC_ERC!$B$17-Table1[[#This Row],[Year Installed_HP]]</f>
        <v>8</v>
      </c>
      <c r="W97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97" s="19">
        <f>[1]Input_EUL_CRC_ERC!$B$17-Table1[[#This Row],[Year Installed_PF]]</f>
        <v>8</v>
      </c>
      <c r="Y97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97" s="25">
        <f>IF(Table1[[#This Row],[Years_Next_Rehab_Well]]&lt;=0,VLOOKUP(Table1[[#This Row],[Item_Rehab_WL]],[1]!Table2[#All],3,FALSE),0)</f>
        <v>0</v>
      </c>
      <c r="AA97" s="18">
        <f>IF(Table1[[#This Row],[Adjusted_ULife_HP]]&lt;=0,VLOOKUP(Table1[[#This Row],[Item_Handpump]],[1]!Table2[#All],3,FALSE),0)</f>
        <v>0</v>
      </c>
      <c r="AB97" s="18">
        <f>IF(Table1[[#This Row],[Adjusted_ULife_PF]]&lt;=0,VLOOKUP(Table1[[#This Row],[Item_Platform]],[1]!Table2[#All],3,FALSE),0)</f>
        <v>0</v>
      </c>
      <c r="AC97" s="18">
        <f>SUM(Table1[[#This Row],[current yr_wl]:[current yr_pf]])</f>
        <v>0</v>
      </c>
      <c r="AD97" s="25">
        <f>IF(Table1[[#This Row],[Years_Next_Rehab_Well]]=1,VLOOKUP(Table1[[#This Row],[Item_Rehab_WL]],[1]!Table2[#All],4,FALSE),0)</f>
        <v>0</v>
      </c>
      <c r="AE97" s="25">
        <f>IF(Table1[[#This Row],[Adjusted_ULife_HP]]=1,VLOOKUP(Table1[[#This Row],[Item_Handpump]],[1]!Table2[#All],4,FALSE),0)</f>
        <v>0</v>
      </c>
      <c r="AF97" s="25">
        <f>IF(Table1[[#This Row],[Adjusted_ULife_PF]]=1,VLOOKUP(Table1[[#This Row],[Item_Platform]],[1]!Table2[#All],4,FALSE),0)</f>
        <v>0</v>
      </c>
      <c r="AG97" s="25">
        <f>SUM(Table1[[#This Row],[yr 1_wl]:[yr 1_pf]])</f>
        <v>0</v>
      </c>
      <c r="AH97" s="25">
        <f>IF(Table1[[#This Row],[Years_Next_Rehab_Well]]=2,VLOOKUP(Table1[[#This Row],[Item_Rehab_WL]],[1]!Table2[#All],5,FALSE),0)</f>
        <v>0</v>
      </c>
      <c r="AI97" s="25">
        <f>IF(Table1[[#This Row],[Adjusted_ULife_HP]]=2,VLOOKUP(Table1[[#This Row],[Item_Handpump]],[1]!Table2[#All],5,FALSE),0)</f>
        <v>0</v>
      </c>
      <c r="AJ97" s="25">
        <f>IF(Table1[[#This Row],[Adjusted_ULife_PF]]=2,VLOOKUP(Table1[[#This Row],[Item_Platform]],[1]!Table2[#All],5,FALSE),0)</f>
        <v>0</v>
      </c>
      <c r="AK97" s="25">
        <f>SUM(Table1[[#This Row],[yr 2_wl]:[yr 2_pf]])</f>
        <v>0</v>
      </c>
      <c r="AL97" s="25">
        <f>IF(Table1[[#This Row],[Years_Next_Rehab_Well]]=3,VLOOKUP(Table1[[#This Row],[Item_Rehab_WL]],[1]!Table2[#All],6,FALSE),0)</f>
        <v>0</v>
      </c>
      <c r="AM97" s="25">
        <f>IF(Table1[[#This Row],[Adjusted_ULife_HP]]=3,VLOOKUP(Table1[[#This Row],[Item_Handpump]],[1]!Table2[#All],6,FALSE),0)</f>
        <v>0</v>
      </c>
      <c r="AN97" s="25">
        <f>IF(Table1[[#This Row],[Adjusted_ULife_PF]]=3,VLOOKUP(Table1[[#This Row],[Item_Platform]],[1]!Table2[#All],6,FALSE),0)</f>
        <v>0</v>
      </c>
      <c r="AO97" s="25">
        <f>SUM(Table1[[#This Row],[yr 3_wl]:[yr 3_pf]])</f>
        <v>0</v>
      </c>
      <c r="AP97" s="25">
        <f>IF(Table1[[#This Row],[Years_Next_Rehab_Well]]=4,VLOOKUP(Table1[[#This Row],[Item_Rehab_WL]],[1]!Table2[#All],7,FALSE),0)</f>
        <v>0</v>
      </c>
      <c r="AQ97" s="25">
        <f>IF(Table1[[#This Row],[Adjusted_ULife_HP]]=4,VLOOKUP(Table1[[#This Row],[Item_Handpump]],[1]!Table2[#All],7,FALSE),0)</f>
        <v>0</v>
      </c>
      <c r="AR97" s="25">
        <f>IF(Table1[[#This Row],[Adjusted_ULife_PF]]=4,VLOOKUP(Table1[[#This Row],[Item_Platform]],[1]!Table2[#All],7,FALSE),0)</f>
        <v>0</v>
      </c>
      <c r="AS97" s="25">
        <f>SUM(Table1[[#This Row],[yr 4_wl]:[yr 4_pf]])</f>
        <v>0</v>
      </c>
      <c r="AT97" s="25">
        <f>IF(Table1[[#This Row],[Years_Next_Rehab_Well]]=5,VLOOKUP(Table1[[#This Row],[Item_Rehab_WL]],[1]!Table2[#All],8,FALSE),0)</f>
        <v>0</v>
      </c>
      <c r="AU97" s="25">
        <f>IF(Table1[[#This Row],[Adjusted_ULife_HP]]=5,VLOOKUP(Table1[[#This Row],[Item_Handpump]],[1]!Table2[#All],8,FALSE),0)</f>
        <v>0</v>
      </c>
      <c r="AV97" s="25">
        <f>IF(Table1[[#This Row],[Adjusted_ULife_PF]]=5,VLOOKUP(Table1[[#This Row],[Item_Platform]],[1]!Table2[#All],8,FALSE),0)</f>
        <v>0</v>
      </c>
      <c r="AW97" s="25">
        <f>SUM(Table1[[#This Row],[yr 5_wl]:[yr 5_pf]])</f>
        <v>0</v>
      </c>
      <c r="AX97" s="25">
        <f>IF(Table1[[#This Row],[Years_Next_Rehab_Well]]=6,VLOOKUP(Table1[[#This Row],[Item_Rehab_WL]],[1]!Table2[#All],9,FALSE),0)</f>
        <v>0</v>
      </c>
      <c r="AY97" s="25">
        <f>IF(Table1[[#This Row],[Adjusted_ULife_HP]]=6,VLOOKUP(Table1[[#This Row],[Item_Handpump]],[1]!Table2[#All],9,FALSE),0)</f>
        <v>0</v>
      </c>
      <c r="AZ97" s="25">
        <f>IF(Table1[[#This Row],[Adjusted_ULife_PF]]=6,VLOOKUP(Table1[[#This Row],[Item_Platform]],[1]!Table2[#All],9,FALSE),0)</f>
        <v>0</v>
      </c>
      <c r="BA97" s="25">
        <f>SUM(Table1[[#This Row],[yr 6_wl]:[yr 6_pf]])</f>
        <v>0</v>
      </c>
      <c r="BB97" s="25">
        <f>IF(Table1[[#This Row],[Years_Next_Rehab_Well]]=7,VLOOKUP(Table1[[#This Row],[Item_Rehab_WL]],[1]!Table2[#All],10,FALSE),0)</f>
        <v>8105.8318271556318</v>
      </c>
      <c r="BC97" s="25">
        <f>IF(Table1[[#This Row],[Adjusted_ULife_HP]]=7,VLOOKUP(Table1[[#This Row],[Item_Handpump]],[1]!Table2[#All],10,FALSE),0)</f>
        <v>0</v>
      </c>
      <c r="BD97" s="25">
        <f>IF(Table1[[#This Row],[Adjusted_ULife_PF]]=7,VLOOKUP(Table1[[#This Row],[Item_Platform]],[1]!Table2[#All],10,FALSE),0)</f>
        <v>3316.0221111091228</v>
      </c>
      <c r="BE97" s="25">
        <f>SUM(Table1[[#This Row],[yr 7_wl]:[yr 7_pf]])</f>
        <v>11421.853938264754</v>
      </c>
      <c r="BF97" s="25">
        <f>IF(Table1[[#This Row],[Years_Next_Rehab_Well]]=8,VLOOKUP(Table1[[#This Row],[Item_Rehab_WL]],[1]!Table2[#All],11,FALSE),0)</f>
        <v>0</v>
      </c>
      <c r="BG97" s="25">
        <f>IF(Table1[[#This Row],[Adjusted_ULife_HP]]=8,VLOOKUP(Table1[[#This Row],[Item_Handpump]],[1]!Table2[#All],11,FALSE),0)</f>
        <v>0</v>
      </c>
      <c r="BH97" s="25">
        <f>IF(Table1[[#This Row],[Adjusted_ULife_PF]]=8,VLOOKUP(Table1[[#This Row],[Item_Platform]],[1]!Table2[#All],11,FALSE),0)</f>
        <v>0</v>
      </c>
      <c r="BI97" s="25">
        <f>SUM(Table1[[#This Row],[yr 8_wl]:[yr 8_pf]])</f>
        <v>0</v>
      </c>
      <c r="BJ97" s="25">
        <f>IF(Table1[[#This Row],[Years_Next_Rehab_Well]]=9,VLOOKUP(Table1[[#This Row],[Item_Rehab_WL]],[1]!Table2[#All],12,FALSE),0)</f>
        <v>0</v>
      </c>
      <c r="BK97" s="25">
        <f>IF(Table1[[#This Row],[Adjusted_ULife_HP]]=9,VLOOKUP(Table1[[#This Row],[Item_Handpump]],[1]!Table2[#All],12,FALSE),0)</f>
        <v>0</v>
      </c>
      <c r="BL97" s="25">
        <f>IF(Table1[[#This Row],[Adjusted_ULife_PF]]=9,VLOOKUP(Table1[[#This Row],[Item_Platform]],[1]!Table2[#All],12,FALSE),0)</f>
        <v>0</v>
      </c>
      <c r="BM97" s="25">
        <f>SUM(Table1[[#This Row],[yr 9_wl]:[yr 9_pf]])</f>
        <v>0</v>
      </c>
      <c r="BN97" s="25">
        <f>IF(Table1[[#This Row],[Years_Next_Rehab_Well]]=10,VLOOKUP(Table1[[#This Row],[Item_Rehab_WL]],[1]!Table2[#All],13,FALSE),0)</f>
        <v>0</v>
      </c>
      <c r="BO97" s="25">
        <f>IF(Table1[[#This Row],[Adjusted_ULife_HP]]=10,VLOOKUP(Table1[[#This Row],[Item_Handpump]],[1]!Table2[#All],13,FALSE),0)</f>
        <v>0</v>
      </c>
      <c r="BP97" s="25">
        <f>IF(Table1[[#This Row],[Adjusted_ULife_PF]]=10,VLOOKUP(Table1[[#This Row],[Item_Platform]],[1]!Table2[#All],13,FALSE),0)</f>
        <v>0</v>
      </c>
      <c r="BQ97" s="25">
        <f>SUM(Table1[[#This Row],[yr 10_wl]:[yr 10_pf]])</f>
        <v>0</v>
      </c>
      <c r="BR97" s="25">
        <f>IF(Table1[[#This Row],[Years_Next_Rehab_Well]]=11,VLOOKUP(Table1[[#This Row],[Item_Rehab_WL]],[1]!Table2[#All],14,FALSE),0)</f>
        <v>0</v>
      </c>
      <c r="BS97" s="25">
        <f>IF(Table1[[#This Row],[Adjusted_ULife_HP]]=11,VLOOKUP(Table1[[#This Row],[Item_Handpump]],[1]!Table2[#All],14,FALSE),0)</f>
        <v>0</v>
      </c>
      <c r="BT97" s="25">
        <f>IF(Table1[[#This Row],[Adjusted_ULife_PF]]=11,VLOOKUP(Table1[[#This Row],[Item_Platform]],[1]!Table2[#All],14,FALSE),0)</f>
        <v>0</v>
      </c>
      <c r="BU97" s="25">
        <f>SUM(Table1[[#This Row],[yr 11_wl]:[yr 11_pf]])</f>
        <v>0</v>
      </c>
      <c r="BV97" s="25">
        <f>IF(Table1[[#This Row],[Years_Next_Rehab_Well]]=12,VLOOKUP(Table1[[#This Row],[Item_Rehab_WL]],[1]!Table2[#All],15,FALSE),0)</f>
        <v>0</v>
      </c>
      <c r="BW97" s="25">
        <f>IF(Table1[[#This Row],[Adjusted_ULife_HP]]=12,VLOOKUP(Table1[[#This Row],[Item_Handpump]],[1]!Table2[#All],15,FALSE),0)</f>
        <v>0</v>
      </c>
      <c r="BX97" s="25">
        <f>IF(Table1[[#This Row],[Adjusted_ULife_PF]]=12,VLOOKUP(Table1[[#This Row],[Item_Platform]],[1]!Table2[#All],15,FALSE),0)</f>
        <v>0</v>
      </c>
      <c r="BY97" s="25">
        <f>SUM(Table1[[#This Row],[yr 12_wl]:[yr 12_pf]])</f>
        <v>0</v>
      </c>
      <c r="BZ97" s="25">
        <f>IF(Table1[[#This Row],[Years_Next_Rehab_Well]]=13,VLOOKUP(Table1[[#This Row],[Item_Rehab_WL]],[1]!Table2[#All],16,FALSE),0)</f>
        <v>0</v>
      </c>
      <c r="CA97" s="25">
        <f>IF(Table1[[#This Row],[Adjusted_ULife_HP]]=13,VLOOKUP(Table1[[#This Row],[Item_Handpump]],[1]!Table2[#All],16,FALSE),0)</f>
        <v>0</v>
      </c>
      <c r="CB97" s="25">
        <f>IF(Table1[[#This Row],[Adjusted_ULife_PF]]=13,VLOOKUP(Table1[[#This Row],[Item_Platform]],[1]!Table2[#All],16,FALSE),0)</f>
        <v>0</v>
      </c>
      <c r="CC97" s="25">
        <f>SUM(Table1[[#This Row],[yr 13_wl]:[yr 13_pf]])</f>
        <v>0</v>
      </c>
      <c r="CD97" s="12"/>
    </row>
    <row r="98" spans="1:82" s="11" customFormat="1" x14ac:dyDescent="0.25">
      <c r="A98" s="11" t="str">
        <f>IF([1]Input_monitoring_data!A94="","",[1]Input_monitoring_data!A94)</f>
        <v>gufv-gcwh-pxgr</v>
      </c>
      <c r="B98" s="22" t="str">
        <f>[1]Input_monitoring_data!BH94</f>
        <v>Ntotroso</v>
      </c>
      <c r="C98" s="22" t="str">
        <f>[1]Input_monitoring_data!BI94</f>
        <v>Akwarekrom</v>
      </c>
      <c r="D98" s="22" t="str">
        <f>[1]Input_monitoring_data!P94</f>
        <v>7.051013794157029</v>
      </c>
      <c r="E98" s="22" t="str">
        <f>[1]Input_monitoring_data!Q94</f>
        <v>-2.3467163632227845</v>
      </c>
      <c r="F98" s="22" t="str">
        <f>[1]Input_monitoring_data!V94</f>
        <v>Near The Krobo Stream</v>
      </c>
      <c r="G98" s="23" t="str">
        <f>[1]Input_monitoring_data!U94</f>
        <v>Borehole</v>
      </c>
      <c r="H98" s="22">
        <f>[1]Input_monitoring_data!X94</f>
        <v>2009</v>
      </c>
      <c r="I98" s="21" t="str">
        <f>[1]Input_monitoring_data!AB94</f>
        <v>Borehole redevelopment</v>
      </c>
      <c r="J98" s="21">
        <f>[1]Input_monitoring_data!AC94</f>
        <v>0</v>
      </c>
      <c r="K98" s="23" t="str">
        <f>[1]Input_monitoring_data!W94</f>
        <v>AfriDev</v>
      </c>
      <c r="L98" s="22">
        <f>[1]Input_monitoring_data!X94</f>
        <v>2009</v>
      </c>
      <c r="M98" s="21" t="str">
        <f>IF([1]Input_monitoring_data!BL94&gt;'Point Sources_Asset_Register_'!L98,[1]Input_monitoring_data!BL94,"")</f>
        <v/>
      </c>
      <c r="N98" s="22" t="str">
        <f>[1]Input_monitoring_data!BQ94</f>
        <v>functional</v>
      </c>
      <c r="O98" s="22">
        <f>[1]Input_monitoring_data!AJ94</f>
        <v>0</v>
      </c>
      <c r="P98" s="23" t="s">
        <v>0</v>
      </c>
      <c r="Q98" s="22">
        <f>L98</f>
        <v>2009</v>
      </c>
      <c r="R98" s="21" t="str">
        <f>M98</f>
        <v/>
      </c>
      <c r="S98" s="20">
        <f>[1]Input_EUL_CRC_ERC!$B$17-Table1[[#This Row],[Year Installed_WL]]</f>
        <v>8</v>
      </c>
      <c r="T98" s="20">
        <f>[1]Input_EUL_CRC_ERC!$B$17-(IF(Table1[[#This Row],[Year Last_Rehab_WL ]]=0,Table1[[#This Row],[Year Installed_WL]],[1]Input_EUL_CRC_ERC!$B$17-Table1[[#This Row],[Year Last_Rehab_WL ]]))</f>
        <v>8</v>
      </c>
      <c r="U98" s="20">
        <f>(VLOOKUP(Table1[[#This Row],[Item_Rehab_WL]],[1]Input_EUL_CRC_ERC!$C$17:$E$27,2,FALSE)-Table1[[#This Row],[Last Rehab Age]])</f>
        <v>7</v>
      </c>
      <c r="V98" s="19">
        <f>[1]Input_EUL_CRC_ERC!$B$17-Table1[[#This Row],[Year Installed_HP]]</f>
        <v>8</v>
      </c>
      <c r="W98" s="19">
        <f>(VLOOKUP(Table1[[#This Row],[Item_Handpump]],[1]!Table2[#All],2,FALSE))-(IF(Table1[[#This Row],[Year Last_Rehab_HP]]="",Table1[[#This Row],[Current Age_Handpump]],[1]Input_EUL_CRC_ERC!$B$17-Table1[[#This Row],[Year Last_Rehab_HP]]))</f>
        <v>12</v>
      </c>
      <c r="X98" s="19">
        <f>[1]Input_EUL_CRC_ERC!$B$17-Table1[[#This Row],[Year Installed_PF]]</f>
        <v>8</v>
      </c>
      <c r="Y98" s="19">
        <f>(VLOOKUP(Table1[[#This Row],[Item_Platform]],[1]!Table2[#All],2,FALSE))-(IF(Table1[[#This Row],[Year Last_Rehab_PF]]="",Table1[[#This Row],[Current Age_Platform]],[1]Input_EUL_CRC_ERC!$B$17-Table1[[#This Row],[Year Last_Rehab_PF]]))</f>
        <v>2</v>
      </c>
      <c r="Z98" s="25">
        <f>IF(Table1[[#This Row],[Years_Next_Rehab_Well]]&lt;=0,VLOOKUP(Table1[[#This Row],[Item_Rehab_WL]],[1]!Table2[#All],3,FALSE),0)</f>
        <v>0</v>
      </c>
      <c r="AA98" s="18">
        <f>IF(Table1[[#This Row],[Adjusted_ULife_HP]]&lt;=0,VLOOKUP(Table1[[#This Row],[Item_Handpump]],[1]!Table2[#All],3,FALSE),0)</f>
        <v>0</v>
      </c>
      <c r="AB98" s="18">
        <f>IF(Table1[[#This Row],[Adjusted_ULife_PF]]&lt;=0,VLOOKUP(Table1[[#This Row],[Item_Platform]],[1]!Table2[#All],3,FALSE),0)</f>
        <v>0</v>
      </c>
      <c r="AC98" s="18">
        <f>SUM(Table1[[#This Row],[current yr_wl]:[current yr_pf]])</f>
        <v>0</v>
      </c>
      <c r="AD98" s="25">
        <f>IF(Table1[[#This Row],[Years_Next_Rehab_Well]]=1,VLOOKUP(Table1[[#This Row],[Item_Rehab_WL]],[1]!Table2[#All],4,FALSE),0)</f>
        <v>0</v>
      </c>
      <c r="AE98" s="25">
        <f>IF(Table1[[#This Row],[Adjusted_ULife_HP]]=1,VLOOKUP(Table1[[#This Row],[Item_Handpump]],[1]!Table2[#All],4,FALSE),0)</f>
        <v>0</v>
      </c>
      <c r="AF98" s="25">
        <f>IF(Table1[[#This Row],[Adjusted_ULife_PF]]=1,VLOOKUP(Table1[[#This Row],[Item_Platform]],[1]!Table2[#All],4,FALSE),0)</f>
        <v>0</v>
      </c>
      <c r="AG98" s="25">
        <f>SUM(Table1[[#This Row],[yr 1_wl]:[yr 1_pf]])</f>
        <v>0</v>
      </c>
      <c r="AH98" s="25">
        <f>IF(Table1[[#This Row],[Years_Next_Rehab_Well]]=2,VLOOKUP(Table1[[#This Row],[Item_Rehab_WL]],[1]!Table2[#All],5,FALSE),0)</f>
        <v>0</v>
      </c>
      <c r="AI98" s="25">
        <f>IF(Table1[[#This Row],[Adjusted_ULife_HP]]=2,VLOOKUP(Table1[[#This Row],[Item_Handpump]],[1]!Table2[#All],5,FALSE),0)</f>
        <v>0</v>
      </c>
      <c r="AJ98" s="25">
        <f>IF(Table1[[#This Row],[Adjusted_ULife_PF]]=2,VLOOKUP(Table1[[#This Row],[Item_Platform]],[1]!Table2[#All],5,FALSE),0)</f>
        <v>1881.6000000000004</v>
      </c>
      <c r="AK98" s="25">
        <f>SUM(Table1[[#This Row],[yr 2_wl]:[yr 2_pf]])</f>
        <v>1881.6000000000004</v>
      </c>
      <c r="AL98" s="25">
        <f>IF(Table1[[#This Row],[Years_Next_Rehab_Well]]=3,VLOOKUP(Table1[[#This Row],[Item_Rehab_WL]],[1]!Table2[#All],6,FALSE),0)</f>
        <v>0</v>
      </c>
      <c r="AM98" s="25">
        <f>IF(Table1[[#This Row],[Adjusted_ULife_HP]]=3,VLOOKUP(Table1[[#This Row],[Item_Handpump]],[1]!Table2[#All],6,FALSE),0)</f>
        <v>0</v>
      </c>
      <c r="AN98" s="25">
        <f>IF(Table1[[#This Row],[Adjusted_ULife_PF]]=3,VLOOKUP(Table1[[#This Row],[Item_Platform]],[1]!Table2[#All],6,FALSE),0)</f>
        <v>0</v>
      </c>
      <c r="AO98" s="25">
        <f>SUM(Table1[[#This Row],[yr 3_wl]:[yr 3_pf]])</f>
        <v>0</v>
      </c>
      <c r="AP98" s="25">
        <f>IF(Table1[[#This Row],[Years_Next_Rehab_Well]]=4,VLOOKUP(Table1[[#This Row],[Item_Rehab_WL]],[1]!Table2[#All],7,FALSE),0)</f>
        <v>0</v>
      </c>
      <c r="AQ98" s="25">
        <f>IF(Table1[[#This Row],[Adjusted_ULife_HP]]=4,VLOOKUP(Table1[[#This Row],[Item_Handpump]],[1]!Table2[#All],7,FALSE),0)</f>
        <v>0</v>
      </c>
      <c r="AR98" s="25">
        <f>IF(Table1[[#This Row],[Adjusted_ULife_PF]]=4,VLOOKUP(Table1[[#This Row],[Item_Platform]],[1]!Table2[#All],7,FALSE),0)</f>
        <v>0</v>
      </c>
      <c r="AS98" s="25">
        <f>SUM(Table1[[#This Row],[yr 4_wl]:[yr 4_pf]])</f>
        <v>0</v>
      </c>
      <c r="AT98" s="25">
        <f>IF(Table1[[#This Row],[Years_Next_Rehab_Well]]=5,VLOOKUP(Table1[[#This Row],[Item_Rehab_WL]],[1]!Table2[#All],8,FALSE),0)</f>
        <v>0</v>
      </c>
      <c r="AU98" s="25">
        <f>IF(Table1[[#This Row],[Adjusted_ULife_HP]]=5,VLOOKUP(Table1[[#This Row],[Item_Handpump]],[1]!Table2[#All],8,FALSE),0)</f>
        <v>0</v>
      </c>
      <c r="AV98" s="25">
        <f>IF(Table1[[#This Row],[Adjusted_ULife_PF]]=5,VLOOKUP(Table1[[#This Row],[Item_Platform]],[1]!Table2[#All],8,FALSE),0)</f>
        <v>0</v>
      </c>
      <c r="AW98" s="25">
        <f>SUM(Table1[[#This Row],[yr 5_wl]:[yr 5_pf]])</f>
        <v>0</v>
      </c>
      <c r="AX98" s="25">
        <f>IF(Table1[[#This Row],[Years_Next_Rehab_Well]]=6,VLOOKUP(Table1[[#This Row],[Item_Rehab_WL]],[1]!Table2[#All],9,FALSE),0)</f>
        <v>0</v>
      </c>
      <c r="AY98" s="25">
        <f>IF(Table1[[#This Row],[Adjusted_ULife_HP]]=6,VLOOKUP(Table1[[#This Row],[Item_Handpump]],[1]!Table2[#All],9,FALSE),0)</f>
        <v>0</v>
      </c>
      <c r="AZ98" s="25">
        <f>IF(Table1[[#This Row],[Adjusted_ULife_PF]]=6,VLOOKUP(Table1[[#This Row],[Item_Platform]],[1]!Table2[#All],9,FALSE),0)</f>
        <v>0</v>
      </c>
      <c r="BA98" s="25">
        <f>SUM(Table1[[#This Row],[yr 6_wl]:[yr 6_pf]])</f>
        <v>0</v>
      </c>
      <c r="BB98" s="25">
        <f>IF(Table1[[#This Row],[Years_Next_Rehab_Well]]=7,VLOOKUP(Table1[[#This Row],[Item_Rehab_WL]],[1]!Table2[#All],10,FALSE),0)</f>
        <v>8105.8318271556318</v>
      </c>
      <c r="BC98" s="25">
        <f>IF(Table1[[#This Row],[Adjusted_ULife_HP]]=7,VLOOKUP(Table1[[#This Row],[Item_Handpump]],[1]!Table2[#All],10,FALSE),0)</f>
        <v>0</v>
      </c>
      <c r="BD98" s="25">
        <f>IF(Table1[[#This Row],[Adjusted_ULife_PF]]=7,VLOOKUP(Table1[[#This Row],[Item_Platform]],[1]!Table2[#All],10,FALSE),0)</f>
        <v>0</v>
      </c>
      <c r="BE98" s="25">
        <f>SUM(Table1[[#This Row],[yr 7_wl]:[yr 7_pf]])</f>
        <v>8105.8318271556318</v>
      </c>
      <c r="BF98" s="25">
        <f>IF(Table1[[#This Row],[Years_Next_Rehab_Well]]=8,VLOOKUP(Table1[[#This Row],[Item_Rehab_WL]],[1]!Table2[#All],11,FALSE),0)</f>
        <v>0</v>
      </c>
      <c r="BG98" s="25">
        <f>IF(Table1[[#This Row],[Adjusted_ULife_HP]]=8,VLOOKUP(Table1[[#This Row],[Item_Handpump]],[1]!Table2[#All],11,FALSE),0)</f>
        <v>0</v>
      </c>
      <c r="BH98" s="25">
        <f>IF(Table1[[#This Row],[Adjusted_ULife_PF]]=8,VLOOKUP(Table1[[#This Row],[Item_Platform]],[1]!Table2[#All],11,FALSE),0)</f>
        <v>0</v>
      </c>
      <c r="BI98" s="25">
        <f>SUM(Table1[[#This Row],[yr 8_wl]:[yr 8_pf]])</f>
        <v>0</v>
      </c>
      <c r="BJ98" s="25">
        <f>IF(Table1[[#This Row],[Years_Next_Rehab_Well]]=9,VLOOKUP(Table1[[#This Row],[Item_Rehab_WL]],[1]!Table2[#All],12,FALSE),0)</f>
        <v>0</v>
      </c>
      <c r="BK98" s="25">
        <f>IF(Table1[[#This Row],[Adjusted_ULife_HP]]=9,VLOOKUP(Table1[[#This Row],[Item_Handpump]],[1]!Table2[#All],12,FALSE),0)</f>
        <v>0</v>
      </c>
      <c r="BL98" s="25">
        <f>IF(Table1[[#This Row],[Adjusted_ULife_PF]]=9,VLOOKUP(Table1[[#This Row],[Item_Platform]],[1]!Table2[#All],12,FALSE),0)</f>
        <v>0</v>
      </c>
      <c r="BM98" s="25">
        <f>SUM(Table1[[#This Row],[yr 9_wl]:[yr 9_pf]])</f>
        <v>0</v>
      </c>
      <c r="BN98" s="25">
        <f>IF(Table1[[#This Row],[Years_Next_Rehab_Well]]=10,VLOOKUP(Table1[[#This Row],[Item_Rehab_WL]],[1]!Table2[#All],13,FALSE),0)</f>
        <v>0</v>
      </c>
      <c r="BO98" s="25">
        <f>IF(Table1[[#This Row],[Adjusted_ULife_HP]]=10,VLOOKUP(Table1[[#This Row],[Item_Handpump]],[1]!Table2[#All],13,FALSE),0)</f>
        <v>0</v>
      </c>
      <c r="BP98" s="25">
        <f>IF(Table1[[#This Row],[Adjusted_ULife_PF]]=10,VLOOKUP(Table1[[#This Row],[Item_Platform]],[1]!Table2[#All],13,FALSE),0)</f>
        <v>0</v>
      </c>
      <c r="BQ98" s="25">
        <f>SUM(Table1[[#This Row],[yr 10_wl]:[yr 10_pf]])</f>
        <v>0</v>
      </c>
      <c r="BR98" s="25">
        <f>IF(Table1[[#This Row],[Years_Next_Rehab_Well]]=11,VLOOKUP(Table1[[#This Row],[Item_Rehab_WL]],[1]!Table2[#All],14,FALSE),0)</f>
        <v>0</v>
      </c>
      <c r="BS98" s="25">
        <f>IF(Table1[[#This Row],[Adjusted_ULife_HP]]=11,VLOOKUP(Table1[[#This Row],[Item_Handpump]],[1]!Table2[#All],14,FALSE),0)</f>
        <v>0</v>
      </c>
      <c r="BT98" s="25">
        <f>IF(Table1[[#This Row],[Adjusted_ULife_PF]]=11,VLOOKUP(Table1[[#This Row],[Item_Platform]],[1]!Table2[#All],14,FALSE),0)</f>
        <v>0</v>
      </c>
      <c r="BU98" s="25">
        <f>SUM(Table1[[#This Row],[yr 11_wl]:[yr 11_pf]])</f>
        <v>0</v>
      </c>
      <c r="BV98" s="25">
        <f>IF(Table1[[#This Row],[Years_Next_Rehab_Well]]=12,VLOOKUP(Table1[[#This Row],[Item_Rehab_WL]],[1]!Table2[#All],15,FALSE),0)</f>
        <v>0</v>
      </c>
      <c r="BW98" s="25">
        <f>IF(Table1[[#This Row],[Adjusted_ULife_HP]]=12,VLOOKUP(Table1[[#This Row],[Item_Handpump]],[1]!Table2[#All],15,FALSE),0)</f>
        <v>1558.3903970187919</v>
      </c>
      <c r="BX98" s="25">
        <f>IF(Table1[[#This Row],[Adjusted_ULife_PF]]=12,VLOOKUP(Table1[[#This Row],[Item_Platform]],[1]!Table2[#All],15,FALSE),0)</f>
        <v>0</v>
      </c>
      <c r="BY98" s="25">
        <f>SUM(Table1[[#This Row],[yr 12_wl]:[yr 12_pf]])</f>
        <v>1558.3903970187919</v>
      </c>
      <c r="BZ98" s="25">
        <f>IF(Table1[[#This Row],[Years_Next_Rehab_Well]]=13,VLOOKUP(Table1[[#This Row],[Item_Rehab_WL]],[1]!Table2[#All],16,FALSE),0)</f>
        <v>0</v>
      </c>
      <c r="CA98" s="25">
        <f>IF(Table1[[#This Row],[Adjusted_ULife_HP]]=13,VLOOKUP(Table1[[#This Row],[Item_Handpump]],[1]!Table2[#All],16,FALSE),0)</f>
        <v>0</v>
      </c>
      <c r="CB98" s="25">
        <f>IF(Table1[[#This Row],[Adjusted_ULife_PF]]=13,VLOOKUP(Table1[[#This Row],[Item_Platform]],[1]!Table2[#All],16,FALSE),0)</f>
        <v>0</v>
      </c>
      <c r="CC98" s="25">
        <f>SUM(Table1[[#This Row],[yr 13_wl]:[yr 13_pf]])</f>
        <v>0</v>
      </c>
      <c r="CD98" s="12"/>
    </row>
    <row r="99" spans="1:82" s="11" customFormat="1" x14ac:dyDescent="0.25">
      <c r="A99" s="11" t="str">
        <f>IF([1]Input_monitoring_data!A95="","",[1]Input_monitoring_data!A95)</f>
        <v>gvn7-f46w-6jye</v>
      </c>
      <c r="B99" s="22" t="str">
        <f>[1]Input_monitoring_data!BH95</f>
        <v>KENYASI NO.2</v>
      </c>
      <c r="C99" s="22" t="str">
        <f>[1]Input_monitoring_data!BI95</f>
        <v>KENYASI NO.2</v>
      </c>
      <c r="D99" s="22" t="str">
        <f>[1]Input_monitoring_data!P95</f>
        <v>6.975362210282163</v>
      </c>
      <c r="E99" s="22" t="str">
        <f>[1]Input_monitoring_data!Q95</f>
        <v>-2.3964332990383217</v>
      </c>
      <c r="F99" s="22" t="str">
        <f>[1]Input_monitoring_data!V95</f>
        <v>Akentensu near the church of Pentecost</v>
      </c>
      <c r="G99" s="23" t="str">
        <f>[1]Input_monitoring_data!U95</f>
        <v>Borehole</v>
      </c>
      <c r="H99" s="22">
        <f>[1]Input_monitoring_data!X95</f>
        <v>2012</v>
      </c>
      <c r="I99" s="21" t="str">
        <f>[1]Input_monitoring_data!AB95</f>
        <v>Borehole redevelopment</v>
      </c>
      <c r="J99" s="21">
        <f>[1]Input_monitoring_data!AC95</f>
        <v>0</v>
      </c>
      <c r="K99" s="23" t="str">
        <f>[1]Input_monitoring_data!W95</f>
        <v>AfriDev</v>
      </c>
      <c r="L99" s="22">
        <f>[1]Input_monitoring_data!X95</f>
        <v>2012</v>
      </c>
      <c r="M99" s="21" t="str">
        <f>IF([1]Input_monitoring_data!BL95&gt;'Point Sources_Asset_Register_'!L99,[1]Input_monitoring_data!BL95,"")</f>
        <v/>
      </c>
      <c r="N99" s="22" t="str">
        <f>[1]Input_monitoring_data!BQ95</f>
        <v>partially functional</v>
      </c>
      <c r="O99" s="22">
        <f>[1]Input_monitoring_data!AJ95</f>
        <v>0</v>
      </c>
      <c r="P99" s="23" t="s">
        <v>0</v>
      </c>
      <c r="Q99" s="22">
        <f>L99</f>
        <v>2012</v>
      </c>
      <c r="R99" s="21" t="str">
        <f>M99</f>
        <v/>
      </c>
      <c r="S99" s="20">
        <f>[1]Input_EUL_CRC_ERC!$B$17-Table1[[#This Row],[Year Installed_WL]]</f>
        <v>5</v>
      </c>
      <c r="T99" s="20">
        <f>[1]Input_EUL_CRC_ERC!$B$17-(IF(Table1[[#This Row],[Year Last_Rehab_WL ]]=0,Table1[[#This Row],[Year Installed_WL]],[1]Input_EUL_CRC_ERC!$B$17-Table1[[#This Row],[Year Last_Rehab_WL ]]))</f>
        <v>5</v>
      </c>
      <c r="U99" s="20">
        <f>(VLOOKUP(Table1[[#This Row],[Item_Rehab_WL]],[1]Input_EUL_CRC_ERC!$C$17:$E$27,2,FALSE)-Table1[[#This Row],[Last Rehab Age]])</f>
        <v>10</v>
      </c>
      <c r="V99" s="19">
        <f>[1]Input_EUL_CRC_ERC!$B$17-Table1[[#This Row],[Year Installed_HP]]</f>
        <v>5</v>
      </c>
      <c r="W99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99" s="19">
        <f>[1]Input_EUL_CRC_ERC!$B$17-Table1[[#This Row],[Year Installed_PF]]</f>
        <v>5</v>
      </c>
      <c r="Y99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99" s="25">
        <f>IF(Table1[[#This Row],[Years_Next_Rehab_Well]]&lt;=0,VLOOKUP(Table1[[#This Row],[Item_Rehab_WL]],[1]!Table2[#All],3,FALSE),0)</f>
        <v>0</v>
      </c>
      <c r="AA99" s="18">
        <f>IF(Table1[[#This Row],[Adjusted_ULife_HP]]&lt;=0,VLOOKUP(Table1[[#This Row],[Item_Handpump]],[1]!Table2[#All],3,FALSE),0)</f>
        <v>0</v>
      </c>
      <c r="AB99" s="18">
        <f>IF(Table1[[#This Row],[Adjusted_ULife_PF]]&lt;=0,VLOOKUP(Table1[[#This Row],[Item_Platform]],[1]!Table2[#All],3,FALSE),0)</f>
        <v>0</v>
      </c>
      <c r="AC99" s="18">
        <f>SUM(Table1[[#This Row],[current yr_wl]:[current yr_pf]])</f>
        <v>0</v>
      </c>
      <c r="AD99" s="25">
        <f>IF(Table1[[#This Row],[Years_Next_Rehab_Well]]=1,VLOOKUP(Table1[[#This Row],[Item_Rehab_WL]],[1]!Table2[#All],4,FALSE),0)</f>
        <v>0</v>
      </c>
      <c r="AE99" s="25">
        <f>IF(Table1[[#This Row],[Adjusted_ULife_HP]]=1,VLOOKUP(Table1[[#This Row],[Item_Handpump]],[1]!Table2[#All],4,FALSE),0)</f>
        <v>0</v>
      </c>
      <c r="AF99" s="25">
        <f>IF(Table1[[#This Row],[Adjusted_ULife_PF]]=1,VLOOKUP(Table1[[#This Row],[Item_Platform]],[1]!Table2[#All],4,FALSE),0)</f>
        <v>0</v>
      </c>
      <c r="AG99" s="25">
        <f>SUM(Table1[[#This Row],[yr 1_wl]:[yr 1_pf]])</f>
        <v>0</v>
      </c>
      <c r="AH99" s="25">
        <f>IF(Table1[[#This Row],[Years_Next_Rehab_Well]]=2,VLOOKUP(Table1[[#This Row],[Item_Rehab_WL]],[1]!Table2[#All],5,FALSE),0)</f>
        <v>0</v>
      </c>
      <c r="AI99" s="25">
        <f>IF(Table1[[#This Row],[Adjusted_ULife_HP]]=2,VLOOKUP(Table1[[#This Row],[Item_Handpump]],[1]!Table2[#All],5,FALSE),0)</f>
        <v>0</v>
      </c>
      <c r="AJ99" s="25">
        <f>IF(Table1[[#This Row],[Adjusted_ULife_PF]]=2,VLOOKUP(Table1[[#This Row],[Item_Platform]],[1]!Table2[#All],5,FALSE),0)</f>
        <v>0</v>
      </c>
      <c r="AK99" s="25">
        <f>SUM(Table1[[#This Row],[yr 2_wl]:[yr 2_pf]])</f>
        <v>0</v>
      </c>
      <c r="AL99" s="25">
        <f>IF(Table1[[#This Row],[Years_Next_Rehab_Well]]=3,VLOOKUP(Table1[[#This Row],[Item_Rehab_WL]],[1]!Table2[#All],6,FALSE),0)</f>
        <v>0</v>
      </c>
      <c r="AM99" s="25">
        <f>IF(Table1[[#This Row],[Adjusted_ULife_HP]]=3,VLOOKUP(Table1[[#This Row],[Item_Handpump]],[1]!Table2[#All],6,FALSE),0)</f>
        <v>0</v>
      </c>
      <c r="AN99" s="25">
        <f>IF(Table1[[#This Row],[Adjusted_ULife_PF]]=3,VLOOKUP(Table1[[#This Row],[Item_Platform]],[1]!Table2[#All],6,FALSE),0)</f>
        <v>0</v>
      </c>
      <c r="AO99" s="25">
        <f>SUM(Table1[[#This Row],[yr 3_wl]:[yr 3_pf]])</f>
        <v>0</v>
      </c>
      <c r="AP99" s="25">
        <f>IF(Table1[[#This Row],[Years_Next_Rehab_Well]]=4,VLOOKUP(Table1[[#This Row],[Item_Rehab_WL]],[1]!Table2[#All],7,FALSE),0)</f>
        <v>0</v>
      </c>
      <c r="AQ99" s="25">
        <f>IF(Table1[[#This Row],[Adjusted_ULife_HP]]=4,VLOOKUP(Table1[[#This Row],[Item_Handpump]],[1]!Table2[#All],7,FALSE),0)</f>
        <v>0</v>
      </c>
      <c r="AR99" s="25">
        <f>IF(Table1[[#This Row],[Adjusted_ULife_PF]]=4,VLOOKUP(Table1[[#This Row],[Item_Platform]],[1]!Table2[#All],7,FALSE),0)</f>
        <v>0</v>
      </c>
      <c r="AS99" s="25">
        <f>SUM(Table1[[#This Row],[yr 4_wl]:[yr 4_pf]])</f>
        <v>0</v>
      </c>
      <c r="AT99" s="25">
        <f>IF(Table1[[#This Row],[Years_Next_Rehab_Well]]=5,VLOOKUP(Table1[[#This Row],[Item_Rehab_WL]],[1]!Table2[#All],8,FALSE),0)</f>
        <v>0</v>
      </c>
      <c r="AU99" s="25">
        <f>IF(Table1[[#This Row],[Adjusted_ULife_HP]]=5,VLOOKUP(Table1[[#This Row],[Item_Handpump]],[1]!Table2[#All],8,FALSE),0)</f>
        <v>0</v>
      </c>
      <c r="AV99" s="25">
        <f>IF(Table1[[#This Row],[Adjusted_ULife_PF]]=5,VLOOKUP(Table1[[#This Row],[Item_Platform]],[1]!Table2[#All],8,FALSE),0)</f>
        <v>2643.5125248000018</v>
      </c>
      <c r="AW99" s="25">
        <f>SUM(Table1[[#This Row],[yr 5_wl]:[yr 5_pf]])</f>
        <v>2643.5125248000018</v>
      </c>
      <c r="AX99" s="25">
        <f>IF(Table1[[#This Row],[Years_Next_Rehab_Well]]=6,VLOOKUP(Table1[[#This Row],[Item_Rehab_WL]],[1]!Table2[#All],9,FALSE),0)</f>
        <v>0</v>
      </c>
      <c r="AY99" s="25">
        <f>IF(Table1[[#This Row],[Adjusted_ULife_HP]]=6,VLOOKUP(Table1[[#This Row],[Item_Handpump]],[1]!Table2[#All],9,FALSE),0)</f>
        <v>0</v>
      </c>
      <c r="AZ99" s="25">
        <f>IF(Table1[[#This Row],[Adjusted_ULife_PF]]=6,VLOOKUP(Table1[[#This Row],[Item_Platform]],[1]!Table2[#All],9,FALSE),0)</f>
        <v>0</v>
      </c>
      <c r="BA99" s="25">
        <f>SUM(Table1[[#This Row],[yr 6_wl]:[yr 6_pf]])</f>
        <v>0</v>
      </c>
      <c r="BB99" s="25">
        <f>IF(Table1[[#This Row],[Years_Next_Rehab_Well]]=7,VLOOKUP(Table1[[#This Row],[Item_Rehab_WL]],[1]!Table2[#All],10,FALSE),0)</f>
        <v>0</v>
      </c>
      <c r="BC99" s="25">
        <f>IF(Table1[[#This Row],[Adjusted_ULife_HP]]=7,VLOOKUP(Table1[[#This Row],[Item_Handpump]],[1]!Table2[#All],10,FALSE),0)</f>
        <v>0</v>
      </c>
      <c r="BD99" s="25">
        <f>IF(Table1[[#This Row],[Adjusted_ULife_PF]]=7,VLOOKUP(Table1[[#This Row],[Item_Platform]],[1]!Table2[#All],10,FALSE),0)</f>
        <v>0</v>
      </c>
      <c r="BE99" s="25">
        <f>SUM(Table1[[#This Row],[yr 7_wl]:[yr 7_pf]])</f>
        <v>0</v>
      </c>
      <c r="BF99" s="25">
        <f>IF(Table1[[#This Row],[Years_Next_Rehab_Well]]=8,VLOOKUP(Table1[[#This Row],[Item_Rehab_WL]],[1]!Table2[#All],11,FALSE),0)</f>
        <v>0</v>
      </c>
      <c r="BG99" s="25">
        <f>IF(Table1[[#This Row],[Adjusted_ULife_HP]]=8,VLOOKUP(Table1[[#This Row],[Item_Handpump]],[1]!Table2[#All],11,FALSE),0)</f>
        <v>0</v>
      </c>
      <c r="BH99" s="25">
        <f>IF(Table1[[#This Row],[Adjusted_ULife_PF]]=8,VLOOKUP(Table1[[#This Row],[Item_Platform]],[1]!Table2[#All],11,FALSE),0)</f>
        <v>0</v>
      </c>
      <c r="BI99" s="25">
        <f>SUM(Table1[[#This Row],[yr 8_wl]:[yr 8_pf]])</f>
        <v>0</v>
      </c>
      <c r="BJ99" s="25">
        <f>IF(Table1[[#This Row],[Years_Next_Rehab_Well]]=9,VLOOKUP(Table1[[#This Row],[Item_Rehab_WL]],[1]!Table2[#All],12,FALSE),0)</f>
        <v>0</v>
      </c>
      <c r="BK99" s="25">
        <f>IF(Table1[[#This Row],[Adjusted_ULife_HP]]=9,VLOOKUP(Table1[[#This Row],[Item_Handpump]],[1]!Table2[#All],12,FALSE),0)</f>
        <v>0</v>
      </c>
      <c r="BL99" s="25">
        <f>IF(Table1[[#This Row],[Adjusted_ULife_PF]]=9,VLOOKUP(Table1[[#This Row],[Item_Platform]],[1]!Table2[#All],12,FALSE),0)</f>
        <v>0</v>
      </c>
      <c r="BM99" s="25">
        <f>SUM(Table1[[#This Row],[yr 9_wl]:[yr 9_pf]])</f>
        <v>0</v>
      </c>
      <c r="BN99" s="25">
        <f>IF(Table1[[#This Row],[Years_Next_Rehab_Well]]=10,VLOOKUP(Table1[[#This Row],[Item_Rehab_WL]],[1]!Table2[#All],13,FALSE),0)</f>
        <v>11388.110097262112</v>
      </c>
      <c r="BO99" s="25">
        <f>IF(Table1[[#This Row],[Adjusted_ULife_HP]]=10,VLOOKUP(Table1[[#This Row],[Item_Handpump]],[1]!Table2[#All],13,FALSE),0)</f>
        <v>0</v>
      </c>
      <c r="BP99" s="25">
        <f>IF(Table1[[#This Row],[Adjusted_ULife_PF]]=10,VLOOKUP(Table1[[#This Row],[Item_Platform]],[1]!Table2[#All],13,FALSE),0)</f>
        <v>0</v>
      </c>
      <c r="BQ99" s="25">
        <f>SUM(Table1[[#This Row],[yr 10_wl]:[yr 10_pf]])</f>
        <v>11388.110097262112</v>
      </c>
      <c r="BR99" s="25">
        <f>IF(Table1[[#This Row],[Years_Next_Rehab_Well]]=11,VLOOKUP(Table1[[#This Row],[Item_Rehab_WL]],[1]!Table2[#All],14,FALSE),0)</f>
        <v>0</v>
      </c>
      <c r="BS99" s="25">
        <f>IF(Table1[[#This Row],[Adjusted_ULife_HP]]=11,VLOOKUP(Table1[[#This Row],[Item_Handpump]],[1]!Table2[#All],14,FALSE),0)</f>
        <v>0</v>
      </c>
      <c r="BT99" s="25">
        <f>IF(Table1[[#This Row],[Adjusted_ULife_PF]]=11,VLOOKUP(Table1[[#This Row],[Item_Platform]],[1]!Table2[#All],14,FALSE),0)</f>
        <v>0</v>
      </c>
      <c r="BU99" s="25">
        <f>SUM(Table1[[#This Row],[yr 11_wl]:[yr 11_pf]])</f>
        <v>0</v>
      </c>
      <c r="BV99" s="25">
        <f>IF(Table1[[#This Row],[Years_Next_Rehab_Well]]=12,VLOOKUP(Table1[[#This Row],[Item_Rehab_WL]],[1]!Table2[#All],15,FALSE),0)</f>
        <v>0</v>
      </c>
      <c r="BW99" s="25">
        <f>IF(Table1[[#This Row],[Adjusted_ULife_HP]]=12,VLOOKUP(Table1[[#This Row],[Item_Handpump]],[1]!Table2[#All],15,FALSE),0)</f>
        <v>0</v>
      </c>
      <c r="BX99" s="25">
        <f>IF(Table1[[#This Row],[Adjusted_ULife_PF]]=12,VLOOKUP(Table1[[#This Row],[Item_Platform]],[1]!Table2[#All],15,FALSE),0)</f>
        <v>0</v>
      </c>
      <c r="BY99" s="25">
        <f>SUM(Table1[[#This Row],[yr 12_wl]:[yr 12_pf]])</f>
        <v>0</v>
      </c>
      <c r="BZ99" s="25">
        <f>IF(Table1[[#This Row],[Years_Next_Rehab_Well]]=13,VLOOKUP(Table1[[#This Row],[Item_Rehab_WL]],[1]!Table2[#All],16,FALSE),0)</f>
        <v>0</v>
      </c>
      <c r="CA99" s="25">
        <f>IF(Table1[[#This Row],[Adjusted_ULife_HP]]=13,VLOOKUP(Table1[[#This Row],[Item_Handpump]],[1]!Table2[#All],16,FALSE),0)</f>
        <v>0</v>
      </c>
      <c r="CB99" s="25">
        <f>IF(Table1[[#This Row],[Adjusted_ULife_PF]]=13,VLOOKUP(Table1[[#This Row],[Item_Platform]],[1]!Table2[#All],16,FALSE),0)</f>
        <v>0</v>
      </c>
      <c r="CC99" s="25">
        <f>SUM(Table1[[#This Row],[yr 13_wl]:[yr 13_pf]])</f>
        <v>0</v>
      </c>
      <c r="CD99" s="12"/>
    </row>
    <row r="100" spans="1:82" s="11" customFormat="1" x14ac:dyDescent="0.25">
      <c r="A100" s="11" t="str">
        <f>IF([1]Input_monitoring_data!A96="","",[1]Input_monitoring_data!A96)</f>
        <v>gx91-au7v-duj2</v>
      </c>
      <c r="B100" s="22" t="str">
        <f>[1]Input_monitoring_data!BH96</f>
        <v>Gambia</v>
      </c>
      <c r="C100" s="22" t="str">
        <f>[1]Input_monitoring_data!BI96</f>
        <v>Pobikrom</v>
      </c>
      <c r="D100" s="22" t="str">
        <f>[1]Input_monitoring_data!P96</f>
        <v>7.043701354593514</v>
      </c>
      <c r="E100" s="22" t="str">
        <f>[1]Input_monitoring_data!Q96</f>
        <v>-2.7473312682432907</v>
      </c>
      <c r="F100" s="22" t="str">
        <f>[1]Input_monitoring_data!V96</f>
        <v>Elder Tetteh's Premises</v>
      </c>
      <c r="G100" s="23" t="str">
        <f>[1]Input_monitoring_data!U96</f>
        <v>Borehole</v>
      </c>
      <c r="H100" s="22">
        <f>[1]Input_monitoring_data!X96</f>
        <v>2013</v>
      </c>
      <c r="I100" s="21" t="str">
        <f>[1]Input_monitoring_data!AB96</f>
        <v>Borehole redevelopment</v>
      </c>
      <c r="J100" s="21">
        <f>[1]Input_monitoring_data!AC96</f>
        <v>0</v>
      </c>
      <c r="K100" s="23" t="str">
        <f>[1]Input_monitoring_data!W96</f>
        <v>Solar Pump</v>
      </c>
      <c r="L100" s="22">
        <f>[1]Input_monitoring_data!X96</f>
        <v>2013</v>
      </c>
      <c r="M100" s="21" t="str">
        <f>IF([1]Input_monitoring_data!BL96&gt;'Point Sources_Asset_Register_'!L100,[1]Input_monitoring_data!BL96,"")</f>
        <v/>
      </c>
      <c r="N100" s="22" t="str">
        <f>[1]Input_monitoring_data!BQ96</f>
        <v>not functional</v>
      </c>
      <c r="O100" s="22">
        <f>[1]Input_monitoring_data!AJ96</f>
        <v>0</v>
      </c>
      <c r="P100" s="23" t="s">
        <v>0</v>
      </c>
      <c r="Q100" s="22">
        <f>L100</f>
        <v>2013</v>
      </c>
      <c r="R100" s="21" t="str">
        <f>M100</f>
        <v/>
      </c>
      <c r="S100" s="20">
        <f>[1]Input_EUL_CRC_ERC!$B$17-Table1[[#This Row],[Year Installed_WL]]</f>
        <v>4</v>
      </c>
      <c r="T100" s="20">
        <f>[1]Input_EUL_CRC_ERC!$B$17-(IF(Table1[[#This Row],[Year Last_Rehab_WL ]]=0,Table1[[#This Row],[Year Installed_WL]],[1]Input_EUL_CRC_ERC!$B$17-Table1[[#This Row],[Year Last_Rehab_WL ]]))</f>
        <v>4</v>
      </c>
      <c r="U100" s="20">
        <f>(VLOOKUP(Table1[[#This Row],[Item_Rehab_WL]],[1]Input_EUL_CRC_ERC!$C$17:$E$27,2,FALSE)-Table1[[#This Row],[Last Rehab Age]])</f>
        <v>11</v>
      </c>
      <c r="V100" s="19">
        <f>[1]Input_EUL_CRC_ERC!$B$17-Table1[[#This Row],[Year Installed_HP]]</f>
        <v>4</v>
      </c>
      <c r="W100" s="19">
        <f>(VLOOKUP(Table1[[#This Row],[Item_Handpump]],[1]!Table2[#All],2,FALSE))-(IF(Table1[[#This Row],[Year Last_Rehab_HP]]="",Table1[[#This Row],[Current Age_Handpump]],[1]Input_EUL_CRC_ERC!$B$17-Table1[[#This Row],[Year Last_Rehab_HP]]))</f>
        <v>6</v>
      </c>
      <c r="X100" s="19">
        <f>[1]Input_EUL_CRC_ERC!$B$17-Table1[[#This Row],[Year Installed_PF]]</f>
        <v>4</v>
      </c>
      <c r="Y100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00" s="25">
        <f>IF(Table1[[#This Row],[Years_Next_Rehab_Well]]&lt;=0,VLOOKUP(Table1[[#This Row],[Item_Rehab_WL]],[1]!Table2[#All],3,FALSE),0)</f>
        <v>0</v>
      </c>
      <c r="AA100" s="18">
        <f>IF(Table1[[#This Row],[Adjusted_ULife_HP]]&lt;=0,VLOOKUP(Table1[[#This Row],[Item_Handpump]],[1]!Table2[#All],3,FALSE),0)</f>
        <v>0</v>
      </c>
      <c r="AB100" s="18">
        <f>IF(Table1[[#This Row],[Adjusted_ULife_PF]]&lt;=0,VLOOKUP(Table1[[#This Row],[Item_Platform]],[1]!Table2[#All],3,FALSE),0)</f>
        <v>0</v>
      </c>
      <c r="AC100" s="18">
        <f>SUM(Table1[[#This Row],[current yr_wl]:[current yr_pf]])</f>
        <v>0</v>
      </c>
      <c r="AD100" s="25">
        <f>IF(Table1[[#This Row],[Years_Next_Rehab_Well]]=1,VLOOKUP(Table1[[#This Row],[Item_Rehab_WL]],[1]!Table2[#All],4,FALSE),0)</f>
        <v>0</v>
      </c>
      <c r="AE100" s="25">
        <f>IF(Table1[[#This Row],[Adjusted_ULife_HP]]=1,VLOOKUP(Table1[[#This Row],[Item_Handpump]],[1]!Table2[#All],4,FALSE),0)</f>
        <v>0</v>
      </c>
      <c r="AF100" s="25">
        <f>IF(Table1[[#This Row],[Adjusted_ULife_PF]]=1,VLOOKUP(Table1[[#This Row],[Item_Platform]],[1]!Table2[#All],4,FALSE),0)</f>
        <v>0</v>
      </c>
      <c r="AG100" s="25">
        <f>SUM(Table1[[#This Row],[yr 1_wl]:[yr 1_pf]])</f>
        <v>0</v>
      </c>
      <c r="AH100" s="25">
        <f>IF(Table1[[#This Row],[Years_Next_Rehab_Well]]=2,VLOOKUP(Table1[[#This Row],[Item_Rehab_WL]],[1]!Table2[#All],5,FALSE),0)</f>
        <v>0</v>
      </c>
      <c r="AI100" s="25">
        <f>IF(Table1[[#This Row],[Adjusted_ULife_HP]]=2,VLOOKUP(Table1[[#This Row],[Item_Handpump]],[1]!Table2[#All],5,FALSE),0)</f>
        <v>0</v>
      </c>
      <c r="AJ100" s="25">
        <f>IF(Table1[[#This Row],[Adjusted_ULife_PF]]=2,VLOOKUP(Table1[[#This Row],[Item_Platform]],[1]!Table2[#All],5,FALSE),0)</f>
        <v>0</v>
      </c>
      <c r="AK100" s="25">
        <f>SUM(Table1[[#This Row],[yr 2_wl]:[yr 2_pf]])</f>
        <v>0</v>
      </c>
      <c r="AL100" s="25">
        <f>IF(Table1[[#This Row],[Years_Next_Rehab_Well]]=3,VLOOKUP(Table1[[#This Row],[Item_Rehab_WL]],[1]!Table2[#All],6,FALSE),0)</f>
        <v>0</v>
      </c>
      <c r="AM100" s="25">
        <f>IF(Table1[[#This Row],[Adjusted_ULife_HP]]=3,VLOOKUP(Table1[[#This Row],[Item_Handpump]],[1]!Table2[#All],6,FALSE),0)</f>
        <v>0</v>
      </c>
      <c r="AN100" s="25">
        <f>IF(Table1[[#This Row],[Adjusted_ULife_PF]]=3,VLOOKUP(Table1[[#This Row],[Item_Platform]],[1]!Table2[#All],6,FALSE),0)</f>
        <v>0</v>
      </c>
      <c r="AO100" s="25">
        <f>SUM(Table1[[#This Row],[yr 3_wl]:[yr 3_pf]])</f>
        <v>0</v>
      </c>
      <c r="AP100" s="25">
        <f>IF(Table1[[#This Row],[Years_Next_Rehab_Well]]=4,VLOOKUP(Table1[[#This Row],[Item_Rehab_WL]],[1]!Table2[#All],7,FALSE),0)</f>
        <v>0</v>
      </c>
      <c r="AQ100" s="25">
        <f>IF(Table1[[#This Row],[Adjusted_ULife_HP]]=4,VLOOKUP(Table1[[#This Row],[Item_Handpump]],[1]!Table2[#All],7,FALSE),0)</f>
        <v>0</v>
      </c>
      <c r="AR100" s="25">
        <f>IF(Table1[[#This Row],[Adjusted_ULife_PF]]=4,VLOOKUP(Table1[[#This Row],[Item_Platform]],[1]!Table2[#All],7,FALSE),0)</f>
        <v>0</v>
      </c>
      <c r="AS100" s="25">
        <f>SUM(Table1[[#This Row],[yr 4_wl]:[yr 4_pf]])</f>
        <v>0</v>
      </c>
      <c r="AT100" s="25">
        <f>IF(Table1[[#This Row],[Years_Next_Rehab_Well]]=5,VLOOKUP(Table1[[#This Row],[Item_Rehab_WL]],[1]!Table2[#All],8,FALSE),0)</f>
        <v>0</v>
      </c>
      <c r="AU100" s="25">
        <f>IF(Table1[[#This Row],[Adjusted_ULife_HP]]=5,VLOOKUP(Table1[[#This Row],[Item_Handpump]],[1]!Table2[#All],8,FALSE),0)</f>
        <v>0</v>
      </c>
      <c r="AV100" s="25">
        <f>IF(Table1[[#This Row],[Adjusted_ULife_PF]]=5,VLOOKUP(Table1[[#This Row],[Item_Platform]],[1]!Table2[#All],8,FALSE),0)</f>
        <v>0</v>
      </c>
      <c r="AW100" s="25">
        <f>SUM(Table1[[#This Row],[yr 5_wl]:[yr 5_pf]])</f>
        <v>0</v>
      </c>
      <c r="AX100" s="25">
        <f>IF(Table1[[#This Row],[Years_Next_Rehab_Well]]=6,VLOOKUP(Table1[[#This Row],[Item_Rehab_WL]],[1]!Table2[#All],9,FALSE),0)</f>
        <v>0</v>
      </c>
      <c r="AY100" s="25">
        <f>IF(Table1[[#This Row],[Adjusted_ULife_HP]]=6,VLOOKUP(Table1[[#This Row],[Item_Handpump]],[1]!Table2[#All],9,FALSE),0)</f>
        <v>789.52907407360033</v>
      </c>
      <c r="AZ100" s="25">
        <f>IF(Table1[[#This Row],[Adjusted_ULife_PF]]=6,VLOOKUP(Table1[[#This Row],[Item_Platform]],[1]!Table2[#All],9,FALSE),0)</f>
        <v>2960.7340277760022</v>
      </c>
      <c r="BA100" s="25">
        <f>SUM(Table1[[#This Row],[yr 6_wl]:[yr 6_pf]])</f>
        <v>3750.2631018496027</v>
      </c>
      <c r="BB100" s="25">
        <f>IF(Table1[[#This Row],[Years_Next_Rehab_Well]]=7,VLOOKUP(Table1[[#This Row],[Item_Rehab_WL]],[1]!Table2[#All],10,FALSE),0)</f>
        <v>0</v>
      </c>
      <c r="BC100" s="25">
        <f>IF(Table1[[#This Row],[Adjusted_ULife_HP]]=7,VLOOKUP(Table1[[#This Row],[Item_Handpump]],[1]!Table2[#All],10,FALSE),0)</f>
        <v>0</v>
      </c>
      <c r="BD100" s="25">
        <f>IF(Table1[[#This Row],[Adjusted_ULife_PF]]=7,VLOOKUP(Table1[[#This Row],[Item_Platform]],[1]!Table2[#All],10,FALSE),0)</f>
        <v>0</v>
      </c>
      <c r="BE100" s="25">
        <f>SUM(Table1[[#This Row],[yr 7_wl]:[yr 7_pf]])</f>
        <v>0</v>
      </c>
      <c r="BF100" s="25">
        <f>IF(Table1[[#This Row],[Years_Next_Rehab_Well]]=8,VLOOKUP(Table1[[#This Row],[Item_Rehab_WL]],[1]!Table2[#All],11,FALSE),0)</f>
        <v>0</v>
      </c>
      <c r="BG100" s="25">
        <f>IF(Table1[[#This Row],[Adjusted_ULife_HP]]=8,VLOOKUP(Table1[[#This Row],[Item_Handpump]],[1]!Table2[#All],11,FALSE),0)</f>
        <v>0</v>
      </c>
      <c r="BH100" s="25">
        <f>IF(Table1[[#This Row],[Adjusted_ULife_PF]]=8,VLOOKUP(Table1[[#This Row],[Item_Platform]],[1]!Table2[#All],11,FALSE),0)</f>
        <v>0</v>
      </c>
      <c r="BI100" s="25">
        <f>SUM(Table1[[#This Row],[yr 8_wl]:[yr 8_pf]])</f>
        <v>0</v>
      </c>
      <c r="BJ100" s="25">
        <f>IF(Table1[[#This Row],[Years_Next_Rehab_Well]]=9,VLOOKUP(Table1[[#This Row],[Item_Rehab_WL]],[1]!Table2[#All],12,FALSE),0)</f>
        <v>0</v>
      </c>
      <c r="BK100" s="25">
        <f>IF(Table1[[#This Row],[Adjusted_ULife_HP]]=9,VLOOKUP(Table1[[#This Row],[Item_Handpump]],[1]!Table2[#All],12,FALSE),0)</f>
        <v>0</v>
      </c>
      <c r="BL100" s="25">
        <f>IF(Table1[[#This Row],[Adjusted_ULife_PF]]=9,VLOOKUP(Table1[[#This Row],[Item_Platform]],[1]!Table2[#All],12,FALSE),0)</f>
        <v>0</v>
      </c>
      <c r="BM100" s="25">
        <f>SUM(Table1[[#This Row],[yr 9_wl]:[yr 9_pf]])</f>
        <v>0</v>
      </c>
      <c r="BN100" s="25">
        <f>IF(Table1[[#This Row],[Years_Next_Rehab_Well]]=10,VLOOKUP(Table1[[#This Row],[Item_Rehab_WL]],[1]!Table2[#All],13,FALSE),0)</f>
        <v>0</v>
      </c>
      <c r="BO100" s="25">
        <f>IF(Table1[[#This Row],[Adjusted_ULife_HP]]=10,VLOOKUP(Table1[[#This Row],[Item_Handpump]],[1]!Table2[#All],13,FALSE),0)</f>
        <v>0</v>
      </c>
      <c r="BP100" s="25">
        <f>IF(Table1[[#This Row],[Adjusted_ULife_PF]]=10,VLOOKUP(Table1[[#This Row],[Item_Platform]],[1]!Table2[#All],13,FALSE),0)</f>
        <v>0</v>
      </c>
      <c r="BQ100" s="25">
        <f>SUM(Table1[[#This Row],[yr 10_wl]:[yr 10_pf]])</f>
        <v>0</v>
      </c>
      <c r="BR100" s="25">
        <f>IF(Table1[[#This Row],[Years_Next_Rehab_Well]]=11,VLOOKUP(Table1[[#This Row],[Item_Rehab_WL]],[1]!Table2[#All],14,FALSE),0)</f>
        <v>12754.683308933567</v>
      </c>
      <c r="BS100" s="25">
        <f>IF(Table1[[#This Row],[Adjusted_ULife_HP]]=11,VLOOKUP(Table1[[#This Row],[Item_Handpump]],[1]!Table2[#All],14,FALSE),0)</f>
        <v>0</v>
      </c>
      <c r="BT100" s="25">
        <f>IF(Table1[[#This Row],[Adjusted_ULife_PF]]=11,VLOOKUP(Table1[[#This Row],[Item_Platform]],[1]!Table2[#All],14,FALSE),0)</f>
        <v>0</v>
      </c>
      <c r="BU100" s="25">
        <f>SUM(Table1[[#This Row],[yr 11_wl]:[yr 11_pf]])</f>
        <v>12754.683308933567</v>
      </c>
      <c r="BV100" s="25">
        <f>IF(Table1[[#This Row],[Years_Next_Rehab_Well]]=12,VLOOKUP(Table1[[#This Row],[Item_Rehab_WL]],[1]!Table2[#All],15,FALSE),0)</f>
        <v>0</v>
      </c>
      <c r="BW100" s="25">
        <f>IF(Table1[[#This Row],[Adjusted_ULife_HP]]=12,VLOOKUP(Table1[[#This Row],[Item_Handpump]],[1]!Table2[#All],15,FALSE),0)</f>
        <v>0</v>
      </c>
      <c r="BX100" s="25">
        <f>IF(Table1[[#This Row],[Adjusted_ULife_PF]]=12,VLOOKUP(Table1[[#This Row],[Item_Platform]],[1]!Table2[#All],15,FALSE),0)</f>
        <v>0</v>
      </c>
      <c r="BY100" s="25">
        <f>SUM(Table1[[#This Row],[yr 12_wl]:[yr 12_pf]])</f>
        <v>0</v>
      </c>
      <c r="BZ100" s="25">
        <f>IF(Table1[[#This Row],[Years_Next_Rehab_Well]]=13,VLOOKUP(Table1[[#This Row],[Item_Rehab_WL]],[1]!Table2[#All],16,FALSE),0)</f>
        <v>0</v>
      </c>
      <c r="CA100" s="25">
        <f>IF(Table1[[#This Row],[Adjusted_ULife_HP]]=13,VLOOKUP(Table1[[#This Row],[Item_Handpump]],[1]!Table2[#All],16,FALSE),0)</f>
        <v>0</v>
      </c>
      <c r="CB100" s="25">
        <f>IF(Table1[[#This Row],[Adjusted_ULife_PF]]=13,VLOOKUP(Table1[[#This Row],[Item_Platform]],[1]!Table2[#All],16,FALSE),0)</f>
        <v>0</v>
      </c>
      <c r="CC100" s="25">
        <f>SUM(Table1[[#This Row],[yr 13_wl]:[yr 13_pf]])</f>
        <v>0</v>
      </c>
      <c r="CD100" s="12"/>
    </row>
    <row r="101" spans="1:82" s="11" customFormat="1" x14ac:dyDescent="0.25">
      <c r="A101" s="11" t="str">
        <f>IF([1]Input_monitoring_data!A97="","",[1]Input_monitoring_data!A97)</f>
        <v>gyg1-ea5s-sm09</v>
      </c>
      <c r="B101" s="22" t="str">
        <f>[1]Input_monitoring_data!BH97</f>
        <v>Ntotroso</v>
      </c>
      <c r="C101" s="22" t="str">
        <f>[1]Input_monitoring_data!BI97</f>
        <v>Wamahinso</v>
      </c>
      <c r="D101" s="22" t="str">
        <f>[1]Input_monitoring_data!P97</f>
        <v>7.090553081873427</v>
      </c>
      <c r="E101" s="22" t="str">
        <f>[1]Input_monitoring_data!Q97</f>
        <v>-2.342975660427989</v>
      </c>
      <c r="F101" s="22" t="str">
        <f>[1]Input_monitoring_data!V97</f>
        <v>Behind The Community Center</v>
      </c>
      <c r="G101" s="23" t="str">
        <f>[1]Input_monitoring_data!U97</f>
        <v>Borehole</v>
      </c>
      <c r="H101" s="22">
        <f>[1]Input_monitoring_data!X97</f>
        <v>2009</v>
      </c>
      <c r="I101" s="21" t="str">
        <f>[1]Input_monitoring_data!AB97</f>
        <v>Borehole redevelopment</v>
      </c>
      <c r="J101" s="21">
        <f>[1]Input_monitoring_data!AC97</f>
        <v>0</v>
      </c>
      <c r="K101" s="23" t="str">
        <f>[1]Input_monitoring_data!W97</f>
        <v>AfriDev</v>
      </c>
      <c r="L101" s="22">
        <f>[1]Input_monitoring_data!X97</f>
        <v>2009</v>
      </c>
      <c r="M101" s="21">
        <f>IF([1]Input_monitoring_data!BL97&gt;'Point Sources_Asset_Register_'!L101,[1]Input_monitoring_data!BL97,"")</f>
        <v>2014</v>
      </c>
      <c r="N101" s="22" t="str">
        <f>[1]Input_monitoring_data!BQ97</f>
        <v>functional</v>
      </c>
      <c r="O101" s="22">
        <f>[1]Input_monitoring_data!AJ97</f>
        <v>0</v>
      </c>
      <c r="P101" s="23" t="s">
        <v>0</v>
      </c>
      <c r="Q101" s="22">
        <f>L101</f>
        <v>2009</v>
      </c>
      <c r="R101" s="21">
        <f>M101</f>
        <v>2014</v>
      </c>
      <c r="S101" s="20">
        <f>[1]Input_EUL_CRC_ERC!$B$17-Table1[[#This Row],[Year Installed_WL]]</f>
        <v>8</v>
      </c>
      <c r="T101" s="20">
        <f>[1]Input_EUL_CRC_ERC!$B$17-(IF(Table1[[#This Row],[Year Last_Rehab_WL ]]=0,Table1[[#This Row],[Year Installed_WL]],[1]Input_EUL_CRC_ERC!$B$17-Table1[[#This Row],[Year Last_Rehab_WL ]]))</f>
        <v>8</v>
      </c>
      <c r="U101" s="20">
        <f>(VLOOKUP(Table1[[#This Row],[Item_Rehab_WL]],[1]Input_EUL_CRC_ERC!$C$17:$E$27,2,FALSE)-Table1[[#This Row],[Last Rehab Age]])</f>
        <v>7</v>
      </c>
      <c r="V101" s="19">
        <f>[1]Input_EUL_CRC_ERC!$B$17-Table1[[#This Row],[Year Installed_HP]]</f>
        <v>8</v>
      </c>
      <c r="W101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01" s="19">
        <f>[1]Input_EUL_CRC_ERC!$B$17-Table1[[#This Row],[Year Installed_PF]]</f>
        <v>8</v>
      </c>
      <c r="Y101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01" s="25">
        <f>IF(Table1[[#This Row],[Years_Next_Rehab_Well]]&lt;=0,VLOOKUP(Table1[[#This Row],[Item_Rehab_WL]],[1]!Table2[#All],3,FALSE),0)</f>
        <v>0</v>
      </c>
      <c r="AA101" s="18">
        <f>IF(Table1[[#This Row],[Adjusted_ULife_HP]]&lt;=0,VLOOKUP(Table1[[#This Row],[Item_Handpump]],[1]!Table2[#All],3,FALSE),0)</f>
        <v>0</v>
      </c>
      <c r="AB101" s="18">
        <f>IF(Table1[[#This Row],[Adjusted_ULife_PF]]&lt;=0,VLOOKUP(Table1[[#This Row],[Item_Platform]],[1]!Table2[#All],3,FALSE),0)</f>
        <v>0</v>
      </c>
      <c r="AC101" s="18">
        <f>SUM(Table1[[#This Row],[current yr_wl]:[current yr_pf]])</f>
        <v>0</v>
      </c>
      <c r="AD101" s="25">
        <f>IF(Table1[[#This Row],[Years_Next_Rehab_Well]]=1,VLOOKUP(Table1[[#This Row],[Item_Rehab_WL]],[1]!Table2[#All],4,FALSE),0)</f>
        <v>0</v>
      </c>
      <c r="AE101" s="25">
        <f>IF(Table1[[#This Row],[Adjusted_ULife_HP]]=1,VLOOKUP(Table1[[#This Row],[Item_Handpump]],[1]!Table2[#All],4,FALSE),0)</f>
        <v>0</v>
      </c>
      <c r="AF101" s="25">
        <f>IF(Table1[[#This Row],[Adjusted_ULife_PF]]=1,VLOOKUP(Table1[[#This Row],[Item_Platform]],[1]!Table2[#All],4,FALSE),0)</f>
        <v>0</v>
      </c>
      <c r="AG101" s="25">
        <f>SUM(Table1[[#This Row],[yr 1_wl]:[yr 1_pf]])</f>
        <v>0</v>
      </c>
      <c r="AH101" s="25">
        <f>IF(Table1[[#This Row],[Years_Next_Rehab_Well]]=2,VLOOKUP(Table1[[#This Row],[Item_Rehab_WL]],[1]!Table2[#All],5,FALSE),0)</f>
        <v>0</v>
      </c>
      <c r="AI101" s="25">
        <f>IF(Table1[[#This Row],[Adjusted_ULife_HP]]=2,VLOOKUP(Table1[[#This Row],[Item_Handpump]],[1]!Table2[#All],5,FALSE),0)</f>
        <v>0</v>
      </c>
      <c r="AJ101" s="25">
        <f>IF(Table1[[#This Row],[Adjusted_ULife_PF]]=2,VLOOKUP(Table1[[#This Row],[Item_Platform]],[1]!Table2[#All],5,FALSE),0)</f>
        <v>0</v>
      </c>
      <c r="AK101" s="25">
        <f>SUM(Table1[[#This Row],[yr 2_wl]:[yr 2_pf]])</f>
        <v>0</v>
      </c>
      <c r="AL101" s="25">
        <f>IF(Table1[[#This Row],[Years_Next_Rehab_Well]]=3,VLOOKUP(Table1[[#This Row],[Item_Rehab_WL]],[1]!Table2[#All],6,FALSE),0)</f>
        <v>0</v>
      </c>
      <c r="AM101" s="25">
        <f>IF(Table1[[#This Row],[Adjusted_ULife_HP]]=3,VLOOKUP(Table1[[#This Row],[Item_Handpump]],[1]!Table2[#All],6,FALSE),0)</f>
        <v>0</v>
      </c>
      <c r="AN101" s="25">
        <f>IF(Table1[[#This Row],[Adjusted_ULife_PF]]=3,VLOOKUP(Table1[[#This Row],[Item_Platform]],[1]!Table2[#All],6,FALSE),0)</f>
        <v>0</v>
      </c>
      <c r="AO101" s="25">
        <f>SUM(Table1[[#This Row],[yr 3_wl]:[yr 3_pf]])</f>
        <v>0</v>
      </c>
      <c r="AP101" s="25">
        <f>IF(Table1[[#This Row],[Years_Next_Rehab_Well]]=4,VLOOKUP(Table1[[#This Row],[Item_Rehab_WL]],[1]!Table2[#All],7,FALSE),0)</f>
        <v>0</v>
      </c>
      <c r="AQ101" s="25">
        <f>IF(Table1[[#This Row],[Adjusted_ULife_HP]]=4,VLOOKUP(Table1[[#This Row],[Item_Handpump]],[1]!Table2[#All],7,FALSE),0)</f>
        <v>0</v>
      </c>
      <c r="AR101" s="25">
        <f>IF(Table1[[#This Row],[Adjusted_ULife_PF]]=4,VLOOKUP(Table1[[#This Row],[Item_Platform]],[1]!Table2[#All],7,FALSE),0)</f>
        <v>0</v>
      </c>
      <c r="AS101" s="25">
        <f>SUM(Table1[[#This Row],[yr 4_wl]:[yr 4_pf]])</f>
        <v>0</v>
      </c>
      <c r="AT101" s="25">
        <f>IF(Table1[[#This Row],[Years_Next_Rehab_Well]]=5,VLOOKUP(Table1[[#This Row],[Item_Rehab_WL]],[1]!Table2[#All],8,FALSE),0)</f>
        <v>0</v>
      </c>
      <c r="AU101" s="25">
        <f>IF(Table1[[#This Row],[Adjusted_ULife_HP]]=5,VLOOKUP(Table1[[#This Row],[Item_Handpump]],[1]!Table2[#All],8,FALSE),0)</f>
        <v>0</v>
      </c>
      <c r="AV101" s="25">
        <f>IF(Table1[[#This Row],[Adjusted_ULife_PF]]=5,VLOOKUP(Table1[[#This Row],[Item_Platform]],[1]!Table2[#All],8,FALSE),0)</f>
        <v>0</v>
      </c>
      <c r="AW101" s="25">
        <f>SUM(Table1[[#This Row],[yr 5_wl]:[yr 5_pf]])</f>
        <v>0</v>
      </c>
      <c r="AX101" s="25">
        <f>IF(Table1[[#This Row],[Years_Next_Rehab_Well]]=6,VLOOKUP(Table1[[#This Row],[Item_Rehab_WL]],[1]!Table2[#All],9,FALSE),0)</f>
        <v>0</v>
      </c>
      <c r="AY101" s="25">
        <f>IF(Table1[[#This Row],[Adjusted_ULife_HP]]=6,VLOOKUP(Table1[[#This Row],[Item_Handpump]],[1]!Table2[#All],9,FALSE),0)</f>
        <v>0</v>
      </c>
      <c r="AZ101" s="25">
        <f>IF(Table1[[#This Row],[Adjusted_ULife_PF]]=6,VLOOKUP(Table1[[#This Row],[Item_Platform]],[1]!Table2[#All],9,FALSE),0)</f>
        <v>0</v>
      </c>
      <c r="BA101" s="25">
        <f>SUM(Table1[[#This Row],[yr 6_wl]:[yr 6_pf]])</f>
        <v>0</v>
      </c>
      <c r="BB101" s="25">
        <f>IF(Table1[[#This Row],[Years_Next_Rehab_Well]]=7,VLOOKUP(Table1[[#This Row],[Item_Rehab_WL]],[1]!Table2[#All],10,FALSE),0)</f>
        <v>8105.8318271556318</v>
      </c>
      <c r="BC101" s="25">
        <f>IF(Table1[[#This Row],[Adjusted_ULife_HP]]=7,VLOOKUP(Table1[[#This Row],[Item_Handpump]],[1]!Table2[#All],10,FALSE),0)</f>
        <v>0</v>
      </c>
      <c r="BD101" s="25">
        <f>IF(Table1[[#This Row],[Adjusted_ULife_PF]]=7,VLOOKUP(Table1[[#This Row],[Item_Platform]],[1]!Table2[#All],10,FALSE),0)</f>
        <v>3316.0221111091228</v>
      </c>
      <c r="BE101" s="25">
        <f>SUM(Table1[[#This Row],[yr 7_wl]:[yr 7_pf]])</f>
        <v>11421.853938264754</v>
      </c>
      <c r="BF101" s="25">
        <f>IF(Table1[[#This Row],[Years_Next_Rehab_Well]]=8,VLOOKUP(Table1[[#This Row],[Item_Rehab_WL]],[1]!Table2[#All],11,FALSE),0)</f>
        <v>0</v>
      </c>
      <c r="BG101" s="25">
        <f>IF(Table1[[#This Row],[Adjusted_ULife_HP]]=8,VLOOKUP(Table1[[#This Row],[Item_Handpump]],[1]!Table2[#All],11,FALSE),0)</f>
        <v>0</v>
      </c>
      <c r="BH101" s="25">
        <f>IF(Table1[[#This Row],[Adjusted_ULife_PF]]=8,VLOOKUP(Table1[[#This Row],[Item_Platform]],[1]!Table2[#All],11,FALSE),0)</f>
        <v>0</v>
      </c>
      <c r="BI101" s="25">
        <f>SUM(Table1[[#This Row],[yr 8_wl]:[yr 8_pf]])</f>
        <v>0</v>
      </c>
      <c r="BJ101" s="25">
        <f>IF(Table1[[#This Row],[Years_Next_Rehab_Well]]=9,VLOOKUP(Table1[[#This Row],[Item_Rehab_WL]],[1]!Table2[#All],12,FALSE),0)</f>
        <v>0</v>
      </c>
      <c r="BK101" s="25">
        <f>IF(Table1[[#This Row],[Adjusted_ULife_HP]]=9,VLOOKUP(Table1[[#This Row],[Item_Handpump]],[1]!Table2[#All],12,FALSE),0)</f>
        <v>0</v>
      </c>
      <c r="BL101" s="25">
        <f>IF(Table1[[#This Row],[Adjusted_ULife_PF]]=9,VLOOKUP(Table1[[#This Row],[Item_Platform]],[1]!Table2[#All],12,FALSE),0)</f>
        <v>0</v>
      </c>
      <c r="BM101" s="25">
        <f>SUM(Table1[[#This Row],[yr 9_wl]:[yr 9_pf]])</f>
        <v>0</v>
      </c>
      <c r="BN101" s="25">
        <f>IF(Table1[[#This Row],[Years_Next_Rehab_Well]]=10,VLOOKUP(Table1[[#This Row],[Item_Rehab_WL]],[1]!Table2[#All],13,FALSE),0)</f>
        <v>0</v>
      </c>
      <c r="BO101" s="25">
        <f>IF(Table1[[#This Row],[Adjusted_ULife_HP]]=10,VLOOKUP(Table1[[#This Row],[Item_Handpump]],[1]!Table2[#All],13,FALSE),0)</f>
        <v>0</v>
      </c>
      <c r="BP101" s="25">
        <f>IF(Table1[[#This Row],[Adjusted_ULife_PF]]=10,VLOOKUP(Table1[[#This Row],[Item_Platform]],[1]!Table2[#All],13,FALSE),0)</f>
        <v>0</v>
      </c>
      <c r="BQ101" s="25">
        <f>SUM(Table1[[#This Row],[yr 10_wl]:[yr 10_pf]])</f>
        <v>0</v>
      </c>
      <c r="BR101" s="25">
        <f>IF(Table1[[#This Row],[Years_Next_Rehab_Well]]=11,VLOOKUP(Table1[[#This Row],[Item_Rehab_WL]],[1]!Table2[#All],14,FALSE),0)</f>
        <v>0</v>
      </c>
      <c r="BS101" s="25">
        <f>IF(Table1[[#This Row],[Adjusted_ULife_HP]]=11,VLOOKUP(Table1[[#This Row],[Item_Handpump]],[1]!Table2[#All],14,FALSE),0)</f>
        <v>0</v>
      </c>
      <c r="BT101" s="25">
        <f>IF(Table1[[#This Row],[Adjusted_ULife_PF]]=11,VLOOKUP(Table1[[#This Row],[Item_Platform]],[1]!Table2[#All],14,FALSE),0)</f>
        <v>0</v>
      </c>
      <c r="BU101" s="25">
        <f>SUM(Table1[[#This Row],[yr 11_wl]:[yr 11_pf]])</f>
        <v>0</v>
      </c>
      <c r="BV101" s="25">
        <f>IF(Table1[[#This Row],[Years_Next_Rehab_Well]]=12,VLOOKUP(Table1[[#This Row],[Item_Rehab_WL]],[1]!Table2[#All],15,FALSE),0)</f>
        <v>0</v>
      </c>
      <c r="BW101" s="25">
        <f>IF(Table1[[#This Row],[Adjusted_ULife_HP]]=12,VLOOKUP(Table1[[#This Row],[Item_Handpump]],[1]!Table2[#All],15,FALSE),0)</f>
        <v>0</v>
      </c>
      <c r="BX101" s="25">
        <f>IF(Table1[[#This Row],[Adjusted_ULife_PF]]=12,VLOOKUP(Table1[[#This Row],[Item_Platform]],[1]!Table2[#All],15,FALSE),0)</f>
        <v>0</v>
      </c>
      <c r="BY101" s="25">
        <f>SUM(Table1[[#This Row],[yr 12_wl]:[yr 12_pf]])</f>
        <v>0</v>
      </c>
      <c r="BZ101" s="25">
        <f>IF(Table1[[#This Row],[Years_Next_Rehab_Well]]=13,VLOOKUP(Table1[[#This Row],[Item_Rehab_WL]],[1]!Table2[#All],16,FALSE),0)</f>
        <v>0</v>
      </c>
      <c r="CA101" s="25">
        <f>IF(Table1[[#This Row],[Adjusted_ULife_HP]]=13,VLOOKUP(Table1[[#This Row],[Item_Handpump]],[1]!Table2[#All],16,FALSE),0)</f>
        <v>0</v>
      </c>
      <c r="CB101" s="25">
        <f>IF(Table1[[#This Row],[Adjusted_ULife_PF]]=13,VLOOKUP(Table1[[#This Row],[Item_Platform]],[1]!Table2[#All],16,FALSE),0)</f>
        <v>0</v>
      </c>
      <c r="CC101" s="25">
        <f>SUM(Table1[[#This Row],[yr 13_wl]:[yr 13_pf]])</f>
        <v>0</v>
      </c>
      <c r="CD101" s="12"/>
    </row>
    <row r="102" spans="1:82" s="11" customFormat="1" x14ac:dyDescent="0.25">
      <c r="A102" s="11" t="str">
        <f>IF([1]Input_monitoring_data!A98="","",[1]Input_monitoring_data!A98)</f>
        <v>h0fa-d46h-6ca1</v>
      </c>
      <c r="B102" s="22" t="str">
        <f>[1]Input_monitoring_data!BH98</f>
        <v>Kenyasi No.2</v>
      </c>
      <c r="C102" s="22" t="str">
        <f>[1]Input_monitoring_data!BI98</f>
        <v>Adum Kenyasi</v>
      </c>
      <c r="D102" s="22" t="str">
        <f>[1]Input_monitoring_data!P98</f>
        <v>6.978180781912801</v>
      </c>
      <c r="E102" s="22" t="str">
        <f>[1]Input_monitoring_data!Q98</f>
        <v>-2.3947054385078554</v>
      </c>
      <c r="F102" s="22" t="str">
        <f>[1]Input_monitoring_data!V98</f>
        <v>Teacher Egbe Premises</v>
      </c>
      <c r="G102" s="23" t="str">
        <f>[1]Input_monitoring_data!U98</f>
        <v>Borehole</v>
      </c>
      <c r="H102" s="22">
        <f>[1]Input_monitoring_data!X98</f>
        <v>2014</v>
      </c>
      <c r="I102" s="21" t="str">
        <f>[1]Input_monitoring_data!AB98</f>
        <v>Borehole redevelopment</v>
      </c>
      <c r="J102" s="21">
        <f>[1]Input_monitoring_data!AC98</f>
        <v>0</v>
      </c>
      <c r="K102" s="23" t="str">
        <f>[1]Input_monitoring_data!W98</f>
        <v>Solar Pump</v>
      </c>
      <c r="L102" s="22">
        <f>[1]Input_monitoring_data!X98</f>
        <v>2014</v>
      </c>
      <c r="M102" s="21">
        <f>IF([1]Input_monitoring_data!BL98&gt;'Point Sources_Asset_Register_'!L102,[1]Input_monitoring_data!BL98,"")</f>
        <v>2016</v>
      </c>
      <c r="N102" s="22" t="str">
        <f>[1]Input_monitoring_data!BQ98</f>
        <v>partially functional</v>
      </c>
      <c r="O102" s="22">
        <f>[1]Input_monitoring_data!AJ98</f>
        <v>0</v>
      </c>
      <c r="P102" s="23" t="s">
        <v>0</v>
      </c>
      <c r="Q102" s="22">
        <f>L102</f>
        <v>2014</v>
      </c>
      <c r="R102" s="21">
        <f>M102</f>
        <v>2016</v>
      </c>
      <c r="S102" s="20">
        <f>[1]Input_EUL_CRC_ERC!$B$17-Table1[[#This Row],[Year Installed_WL]]</f>
        <v>3</v>
      </c>
      <c r="T102" s="20">
        <f>[1]Input_EUL_CRC_ERC!$B$17-(IF(Table1[[#This Row],[Year Last_Rehab_WL ]]=0,Table1[[#This Row],[Year Installed_WL]],[1]Input_EUL_CRC_ERC!$B$17-Table1[[#This Row],[Year Last_Rehab_WL ]]))</f>
        <v>3</v>
      </c>
      <c r="U102" s="20">
        <f>(VLOOKUP(Table1[[#This Row],[Item_Rehab_WL]],[1]Input_EUL_CRC_ERC!$C$17:$E$27,2,FALSE)-Table1[[#This Row],[Last Rehab Age]])</f>
        <v>12</v>
      </c>
      <c r="V102" s="19">
        <f>[1]Input_EUL_CRC_ERC!$B$17-Table1[[#This Row],[Year Installed_HP]]</f>
        <v>3</v>
      </c>
      <c r="W102" s="19">
        <f>(VLOOKUP(Table1[[#This Row],[Item_Handpump]],[1]!Table2[#All],2,FALSE))-(IF(Table1[[#This Row],[Year Last_Rehab_HP]]="",Table1[[#This Row],[Current Age_Handpump]],[1]Input_EUL_CRC_ERC!$B$17-Table1[[#This Row],[Year Last_Rehab_HP]]))</f>
        <v>9</v>
      </c>
      <c r="X102" s="19">
        <f>[1]Input_EUL_CRC_ERC!$B$17-Table1[[#This Row],[Year Installed_PF]]</f>
        <v>3</v>
      </c>
      <c r="Y102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02" s="25">
        <f>IF(Table1[[#This Row],[Years_Next_Rehab_Well]]&lt;=0,VLOOKUP(Table1[[#This Row],[Item_Rehab_WL]],[1]!Table2[#All],3,FALSE),0)</f>
        <v>0</v>
      </c>
      <c r="AA102" s="18">
        <f>IF(Table1[[#This Row],[Adjusted_ULife_HP]]&lt;=0,VLOOKUP(Table1[[#This Row],[Item_Handpump]],[1]!Table2[#All],3,FALSE),0)</f>
        <v>0</v>
      </c>
      <c r="AB102" s="18">
        <f>IF(Table1[[#This Row],[Adjusted_ULife_PF]]&lt;=0,VLOOKUP(Table1[[#This Row],[Item_Platform]],[1]!Table2[#All],3,FALSE),0)</f>
        <v>0</v>
      </c>
      <c r="AC102" s="18">
        <f>SUM(Table1[[#This Row],[current yr_wl]:[current yr_pf]])</f>
        <v>0</v>
      </c>
      <c r="AD102" s="25">
        <f>IF(Table1[[#This Row],[Years_Next_Rehab_Well]]=1,VLOOKUP(Table1[[#This Row],[Item_Rehab_WL]],[1]!Table2[#All],4,FALSE),0)</f>
        <v>0</v>
      </c>
      <c r="AE102" s="25">
        <f>IF(Table1[[#This Row],[Adjusted_ULife_HP]]=1,VLOOKUP(Table1[[#This Row],[Item_Handpump]],[1]!Table2[#All],4,FALSE),0)</f>
        <v>0</v>
      </c>
      <c r="AF102" s="25">
        <f>IF(Table1[[#This Row],[Adjusted_ULife_PF]]=1,VLOOKUP(Table1[[#This Row],[Item_Platform]],[1]!Table2[#All],4,FALSE),0)</f>
        <v>0</v>
      </c>
      <c r="AG102" s="25">
        <f>SUM(Table1[[#This Row],[yr 1_wl]:[yr 1_pf]])</f>
        <v>0</v>
      </c>
      <c r="AH102" s="25">
        <f>IF(Table1[[#This Row],[Years_Next_Rehab_Well]]=2,VLOOKUP(Table1[[#This Row],[Item_Rehab_WL]],[1]!Table2[#All],5,FALSE),0)</f>
        <v>0</v>
      </c>
      <c r="AI102" s="25">
        <f>IF(Table1[[#This Row],[Adjusted_ULife_HP]]=2,VLOOKUP(Table1[[#This Row],[Item_Handpump]],[1]!Table2[#All],5,FALSE),0)</f>
        <v>0</v>
      </c>
      <c r="AJ102" s="25">
        <f>IF(Table1[[#This Row],[Adjusted_ULife_PF]]=2,VLOOKUP(Table1[[#This Row],[Item_Platform]],[1]!Table2[#All],5,FALSE),0)</f>
        <v>0</v>
      </c>
      <c r="AK102" s="25">
        <f>SUM(Table1[[#This Row],[yr 2_wl]:[yr 2_pf]])</f>
        <v>0</v>
      </c>
      <c r="AL102" s="25">
        <f>IF(Table1[[#This Row],[Years_Next_Rehab_Well]]=3,VLOOKUP(Table1[[#This Row],[Item_Rehab_WL]],[1]!Table2[#All],6,FALSE),0)</f>
        <v>0</v>
      </c>
      <c r="AM102" s="25">
        <f>IF(Table1[[#This Row],[Adjusted_ULife_HP]]=3,VLOOKUP(Table1[[#This Row],[Item_Handpump]],[1]!Table2[#All],6,FALSE),0)</f>
        <v>0</v>
      </c>
      <c r="AN102" s="25">
        <f>IF(Table1[[#This Row],[Adjusted_ULife_PF]]=3,VLOOKUP(Table1[[#This Row],[Item_Platform]],[1]!Table2[#All],6,FALSE),0)</f>
        <v>0</v>
      </c>
      <c r="AO102" s="25">
        <f>SUM(Table1[[#This Row],[yr 3_wl]:[yr 3_pf]])</f>
        <v>0</v>
      </c>
      <c r="AP102" s="25">
        <f>IF(Table1[[#This Row],[Years_Next_Rehab_Well]]=4,VLOOKUP(Table1[[#This Row],[Item_Rehab_WL]],[1]!Table2[#All],7,FALSE),0)</f>
        <v>0</v>
      </c>
      <c r="AQ102" s="25">
        <f>IF(Table1[[#This Row],[Adjusted_ULife_HP]]=4,VLOOKUP(Table1[[#This Row],[Item_Handpump]],[1]!Table2[#All],7,FALSE),0)</f>
        <v>0</v>
      </c>
      <c r="AR102" s="25">
        <f>IF(Table1[[#This Row],[Adjusted_ULife_PF]]=4,VLOOKUP(Table1[[#This Row],[Item_Platform]],[1]!Table2[#All],7,FALSE),0)</f>
        <v>0</v>
      </c>
      <c r="AS102" s="25">
        <f>SUM(Table1[[#This Row],[yr 4_wl]:[yr 4_pf]])</f>
        <v>0</v>
      </c>
      <c r="AT102" s="25">
        <f>IF(Table1[[#This Row],[Years_Next_Rehab_Well]]=5,VLOOKUP(Table1[[#This Row],[Item_Rehab_WL]],[1]!Table2[#All],8,FALSE),0)</f>
        <v>0</v>
      </c>
      <c r="AU102" s="25">
        <f>IF(Table1[[#This Row],[Adjusted_ULife_HP]]=5,VLOOKUP(Table1[[#This Row],[Item_Handpump]],[1]!Table2[#All],8,FALSE),0)</f>
        <v>0</v>
      </c>
      <c r="AV102" s="25">
        <f>IF(Table1[[#This Row],[Adjusted_ULife_PF]]=5,VLOOKUP(Table1[[#This Row],[Item_Platform]],[1]!Table2[#All],8,FALSE),0)</f>
        <v>0</v>
      </c>
      <c r="AW102" s="25">
        <f>SUM(Table1[[#This Row],[yr 5_wl]:[yr 5_pf]])</f>
        <v>0</v>
      </c>
      <c r="AX102" s="25">
        <f>IF(Table1[[#This Row],[Years_Next_Rehab_Well]]=6,VLOOKUP(Table1[[#This Row],[Item_Rehab_WL]],[1]!Table2[#All],9,FALSE),0)</f>
        <v>0</v>
      </c>
      <c r="AY102" s="25">
        <f>IF(Table1[[#This Row],[Adjusted_ULife_HP]]=6,VLOOKUP(Table1[[#This Row],[Item_Handpump]],[1]!Table2[#All],9,FALSE),0)</f>
        <v>0</v>
      </c>
      <c r="AZ102" s="25">
        <f>IF(Table1[[#This Row],[Adjusted_ULife_PF]]=6,VLOOKUP(Table1[[#This Row],[Item_Platform]],[1]!Table2[#All],9,FALSE),0)</f>
        <v>0</v>
      </c>
      <c r="BA102" s="25">
        <f>SUM(Table1[[#This Row],[yr 6_wl]:[yr 6_pf]])</f>
        <v>0</v>
      </c>
      <c r="BB102" s="25">
        <f>IF(Table1[[#This Row],[Years_Next_Rehab_Well]]=7,VLOOKUP(Table1[[#This Row],[Item_Rehab_WL]],[1]!Table2[#All],10,FALSE),0)</f>
        <v>0</v>
      </c>
      <c r="BC102" s="25">
        <f>IF(Table1[[#This Row],[Adjusted_ULife_HP]]=7,VLOOKUP(Table1[[#This Row],[Item_Handpump]],[1]!Table2[#All],10,FALSE),0)</f>
        <v>0</v>
      </c>
      <c r="BD102" s="25">
        <f>IF(Table1[[#This Row],[Adjusted_ULife_PF]]=7,VLOOKUP(Table1[[#This Row],[Item_Platform]],[1]!Table2[#All],10,FALSE),0)</f>
        <v>0</v>
      </c>
      <c r="BE102" s="25">
        <f>SUM(Table1[[#This Row],[yr 7_wl]:[yr 7_pf]])</f>
        <v>0</v>
      </c>
      <c r="BF102" s="25">
        <f>IF(Table1[[#This Row],[Years_Next_Rehab_Well]]=8,VLOOKUP(Table1[[#This Row],[Item_Rehab_WL]],[1]!Table2[#All],11,FALSE),0)</f>
        <v>0</v>
      </c>
      <c r="BG102" s="25">
        <f>IF(Table1[[#This Row],[Adjusted_ULife_HP]]=8,VLOOKUP(Table1[[#This Row],[Item_Handpump]],[1]!Table2[#All],11,FALSE),0)</f>
        <v>0</v>
      </c>
      <c r="BH102" s="25">
        <f>IF(Table1[[#This Row],[Adjusted_ULife_PF]]=8,VLOOKUP(Table1[[#This Row],[Item_Platform]],[1]!Table2[#All],11,FALSE),0)</f>
        <v>0</v>
      </c>
      <c r="BI102" s="25">
        <f>SUM(Table1[[#This Row],[yr 8_wl]:[yr 8_pf]])</f>
        <v>0</v>
      </c>
      <c r="BJ102" s="25">
        <f>IF(Table1[[#This Row],[Years_Next_Rehab_Well]]=9,VLOOKUP(Table1[[#This Row],[Item_Rehab_WL]],[1]!Table2[#All],12,FALSE),0)</f>
        <v>0</v>
      </c>
      <c r="BK102" s="25">
        <f>IF(Table1[[#This Row],[Adjusted_ULife_HP]]=9,VLOOKUP(Table1[[#This Row],[Item_Handpump]],[1]!Table2[#All],12,FALSE),0)</f>
        <v>1109.2315029800754</v>
      </c>
      <c r="BL102" s="25">
        <f>IF(Table1[[#This Row],[Adjusted_ULife_PF]]=9,VLOOKUP(Table1[[#This Row],[Item_Platform]],[1]!Table2[#All],12,FALSE),0)</f>
        <v>4159.6181361752842</v>
      </c>
      <c r="BM102" s="25">
        <f>SUM(Table1[[#This Row],[yr 9_wl]:[yr 9_pf]])</f>
        <v>5268.8496391553599</v>
      </c>
      <c r="BN102" s="25">
        <f>IF(Table1[[#This Row],[Years_Next_Rehab_Well]]=10,VLOOKUP(Table1[[#This Row],[Item_Rehab_WL]],[1]!Table2[#All],13,FALSE),0)</f>
        <v>0</v>
      </c>
      <c r="BO102" s="25">
        <f>IF(Table1[[#This Row],[Adjusted_ULife_HP]]=10,VLOOKUP(Table1[[#This Row],[Item_Handpump]],[1]!Table2[#All],13,FALSE),0)</f>
        <v>0</v>
      </c>
      <c r="BP102" s="25">
        <f>IF(Table1[[#This Row],[Adjusted_ULife_PF]]=10,VLOOKUP(Table1[[#This Row],[Item_Platform]],[1]!Table2[#All],13,FALSE),0)</f>
        <v>0</v>
      </c>
      <c r="BQ102" s="25">
        <f>SUM(Table1[[#This Row],[yr 10_wl]:[yr 10_pf]])</f>
        <v>0</v>
      </c>
      <c r="BR102" s="25">
        <f>IF(Table1[[#This Row],[Years_Next_Rehab_Well]]=11,VLOOKUP(Table1[[#This Row],[Item_Rehab_WL]],[1]!Table2[#All],14,FALSE),0)</f>
        <v>0</v>
      </c>
      <c r="BS102" s="25">
        <f>IF(Table1[[#This Row],[Adjusted_ULife_HP]]=11,VLOOKUP(Table1[[#This Row],[Item_Handpump]],[1]!Table2[#All],14,FALSE),0)</f>
        <v>0</v>
      </c>
      <c r="BT102" s="25">
        <f>IF(Table1[[#This Row],[Adjusted_ULife_PF]]=11,VLOOKUP(Table1[[#This Row],[Item_Platform]],[1]!Table2[#All],14,FALSE),0)</f>
        <v>0</v>
      </c>
      <c r="BU102" s="25">
        <f>SUM(Table1[[#This Row],[yr 11_wl]:[yr 11_pf]])</f>
        <v>0</v>
      </c>
      <c r="BV102" s="25">
        <f>IF(Table1[[#This Row],[Years_Next_Rehab_Well]]=12,VLOOKUP(Table1[[#This Row],[Item_Rehab_WL]],[1]!Table2[#All],15,FALSE),0)</f>
        <v>14285.245306005596</v>
      </c>
      <c r="BW102" s="25">
        <f>IF(Table1[[#This Row],[Adjusted_ULife_HP]]=12,VLOOKUP(Table1[[#This Row],[Item_Handpump]],[1]!Table2[#All],15,FALSE),0)</f>
        <v>0</v>
      </c>
      <c r="BX102" s="25">
        <f>IF(Table1[[#This Row],[Adjusted_ULife_PF]]=12,VLOOKUP(Table1[[#This Row],[Item_Platform]],[1]!Table2[#All],15,FALSE),0)</f>
        <v>0</v>
      </c>
      <c r="BY102" s="25">
        <f>SUM(Table1[[#This Row],[yr 12_wl]:[yr 12_pf]])</f>
        <v>14285.245306005596</v>
      </c>
      <c r="BZ102" s="25">
        <f>IF(Table1[[#This Row],[Years_Next_Rehab_Well]]=13,VLOOKUP(Table1[[#This Row],[Item_Rehab_WL]],[1]!Table2[#All],16,FALSE),0)</f>
        <v>0</v>
      </c>
      <c r="CA102" s="25">
        <f>IF(Table1[[#This Row],[Adjusted_ULife_HP]]=13,VLOOKUP(Table1[[#This Row],[Item_Handpump]],[1]!Table2[#All],16,FALSE),0)</f>
        <v>0</v>
      </c>
      <c r="CB102" s="25">
        <f>IF(Table1[[#This Row],[Adjusted_ULife_PF]]=13,VLOOKUP(Table1[[#This Row],[Item_Platform]],[1]!Table2[#All],16,FALSE),0)</f>
        <v>0</v>
      </c>
      <c r="CC102" s="25">
        <f>SUM(Table1[[#This Row],[yr 13_wl]:[yr 13_pf]])</f>
        <v>0</v>
      </c>
      <c r="CD102" s="12"/>
    </row>
    <row r="103" spans="1:82" s="11" customFormat="1" x14ac:dyDescent="0.25">
      <c r="A103" s="11" t="str">
        <f>IF([1]Input_monitoring_data!A99="","",[1]Input_monitoring_data!A99)</f>
        <v>h4te-2567-sfcw</v>
      </c>
      <c r="B103" s="22" t="str">
        <f>[1]Input_monitoring_data!BH99</f>
        <v>Ntotroso</v>
      </c>
      <c r="C103" s="22" t="str">
        <f>[1]Input_monitoring_data!BI99</f>
        <v>Panaba</v>
      </c>
      <c r="D103" s="22" t="str">
        <f>[1]Input_monitoring_data!P99</f>
        <v>7.123654091418226</v>
      </c>
      <c r="E103" s="22" t="str">
        <f>[1]Input_monitoring_data!Q99</f>
        <v>-2.3087324419418076</v>
      </c>
      <c r="F103" s="22" t="str">
        <f>[1]Input_monitoring_data!V99</f>
        <v>Behind The Queenmother's House</v>
      </c>
      <c r="G103" s="23" t="str">
        <f>[1]Input_monitoring_data!U99</f>
        <v>Borehole</v>
      </c>
      <c r="H103" s="22">
        <f>[1]Input_monitoring_data!X99</f>
        <v>2006</v>
      </c>
      <c r="I103" s="21" t="str">
        <f>[1]Input_monitoring_data!AB99</f>
        <v>Borehole redevelopment</v>
      </c>
      <c r="J103" s="21">
        <f>[1]Input_monitoring_data!AC99</f>
        <v>0</v>
      </c>
      <c r="K103" s="23" t="str">
        <f>[1]Input_monitoring_data!W99</f>
        <v>AfriDev</v>
      </c>
      <c r="L103" s="22">
        <f>[1]Input_monitoring_data!X99</f>
        <v>2006</v>
      </c>
      <c r="M103" s="21">
        <f>IF([1]Input_monitoring_data!BL99&gt;'Point Sources_Asset_Register_'!L103,[1]Input_monitoring_data!BL99,"")</f>
        <v>2014</v>
      </c>
      <c r="N103" s="22" t="str">
        <f>[1]Input_monitoring_data!BQ99</f>
        <v>functional</v>
      </c>
      <c r="O103" s="22">
        <f>[1]Input_monitoring_data!AJ99</f>
        <v>0</v>
      </c>
      <c r="P103" s="23" t="s">
        <v>0</v>
      </c>
      <c r="Q103" s="22">
        <f>L103</f>
        <v>2006</v>
      </c>
      <c r="R103" s="21">
        <f>M103</f>
        <v>2014</v>
      </c>
      <c r="S103" s="20">
        <f>[1]Input_EUL_CRC_ERC!$B$17-Table1[[#This Row],[Year Installed_WL]]</f>
        <v>11</v>
      </c>
      <c r="T103" s="20">
        <f>[1]Input_EUL_CRC_ERC!$B$17-(IF(Table1[[#This Row],[Year Last_Rehab_WL ]]=0,Table1[[#This Row],[Year Installed_WL]],[1]Input_EUL_CRC_ERC!$B$17-Table1[[#This Row],[Year Last_Rehab_WL ]]))</f>
        <v>11</v>
      </c>
      <c r="U103" s="20">
        <f>(VLOOKUP(Table1[[#This Row],[Item_Rehab_WL]],[1]Input_EUL_CRC_ERC!$C$17:$E$27,2,FALSE)-Table1[[#This Row],[Last Rehab Age]])</f>
        <v>4</v>
      </c>
      <c r="V103" s="19">
        <f>[1]Input_EUL_CRC_ERC!$B$17-Table1[[#This Row],[Year Installed_HP]]</f>
        <v>11</v>
      </c>
      <c r="W103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03" s="19">
        <f>[1]Input_EUL_CRC_ERC!$B$17-Table1[[#This Row],[Year Installed_PF]]</f>
        <v>11</v>
      </c>
      <c r="Y103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03" s="25">
        <f>IF(Table1[[#This Row],[Years_Next_Rehab_Well]]&lt;=0,VLOOKUP(Table1[[#This Row],[Item_Rehab_WL]],[1]!Table2[#All],3,FALSE),0)</f>
        <v>0</v>
      </c>
      <c r="AA103" s="18">
        <f>IF(Table1[[#This Row],[Adjusted_ULife_HP]]&lt;=0,VLOOKUP(Table1[[#This Row],[Item_Handpump]],[1]!Table2[#All],3,FALSE),0)</f>
        <v>0</v>
      </c>
      <c r="AB103" s="18">
        <f>IF(Table1[[#This Row],[Adjusted_ULife_PF]]&lt;=0,VLOOKUP(Table1[[#This Row],[Item_Platform]],[1]!Table2[#All],3,FALSE),0)</f>
        <v>0</v>
      </c>
      <c r="AC103" s="18">
        <f>SUM(Table1[[#This Row],[current yr_wl]:[current yr_pf]])</f>
        <v>0</v>
      </c>
      <c r="AD103" s="25">
        <f>IF(Table1[[#This Row],[Years_Next_Rehab_Well]]=1,VLOOKUP(Table1[[#This Row],[Item_Rehab_WL]],[1]!Table2[#All],4,FALSE),0)</f>
        <v>0</v>
      </c>
      <c r="AE103" s="25">
        <f>IF(Table1[[#This Row],[Adjusted_ULife_HP]]=1,VLOOKUP(Table1[[#This Row],[Item_Handpump]],[1]!Table2[#All],4,FALSE),0)</f>
        <v>0</v>
      </c>
      <c r="AF103" s="25">
        <f>IF(Table1[[#This Row],[Adjusted_ULife_PF]]=1,VLOOKUP(Table1[[#This Row],[Item_Platform]],[1]!Table2[#All],4,FALSE),0)</f>
        <v>0</v>
      </c>
      <c r="AG103" s="25">
        <f>SUM(Table1[[#This Row],[yr 1_wl]:[yr 1_pf]])</f>
        <v>0</v>
      </c>
      <c r="AH103" s="25">
        <f>IF(Table1[[#This Row],[Years_Next_Rehab_Well]]=2,VLOOKUP(Table1[[#This Row],[Item_Rehab_WL]],[1]!Table2[#All],5,FALSE),0)</f>
        <v>0</v>
      </c>
      <c r="AI103" s="25">
        <f>IF(Table1[[#This Row],[Adjusted_ULife_HP]]=2,VLOOKUP(Table1[[#This Row],[Item_Handpump]],[1]!Table2[#All],5,FALSE),0)</f>
        <v>0</v>
      </c>
      <c r="AJ103" s="25">
        <f>IF(Table1[[#This Row],[Adjusted_ULife_PF]]=2,VLOOKUP(Table1[[#This Row],[Item_Platform]],[1]!Table2[#All],5,FALSE),0)</f>
        <v>0</v>
      </c>
      <c r="AK103" s="25">
        <f>SUM(Table1[[#This Row],[yr 2_wl]:[yr 2_pf]])</f>
        <v>0</v>
      </c>
      <c r="AL103" s="25">
        <f>IF(Table1[[#This Row],[Years_Next_Rehab_Well]]=3,VLOOKUP(Table1[[#This Row],[Item_Rehab_WL]],[1]!Table2[#All],6,FALSE),0)</f>
        <v>0</v>
      </c>
      <c r="AM103" s="25">
        <f>IF(Table1[[#This Row],[Adjusted_ULife_HP]]=3,VLOOKUP(Table1[[#This Row],[Item_Handpump]],[1]!Table2[#All],6,FALSE),0)</f>
        <v>0</v>
      </c>
      <c r="AN103" s="25">
        <f>IF(Table1[[#This Row],[Adjusted_ULife_PF]]=3,VLOOKUP(Table1[[#This Row],[Item_Platform]],[1]!Table2[#All],6,FALSE),0)</f>
        <v>0</v>
      </c>
      <c r="AO103" s="25">
        <f>SUM(Table1[[#This Row],[yr 3_wl]:[yr 3_pf]])</f>
        <v>0</v>
      </c>
      <c r="AP103" s="25">
        <f>IF(Table1[[#This Row],[Years_Next_Rehab_Well]]=4,VLOOKUP(Table1[[#This Row],[Item_Rehab_WL]],[1]!Table2[#All],7,FALSE),0)</f>
        <v>5769.5709866666684</v>
      </c>
      <c r="AQ103" s="25">
        <f>IF(Table1[[#This Row],[Adjusted_ULife_HP]]=4,VLOOKUP(Table1[[#This Row],[Item_Handpump]],[1]!Table2[#All],7,FALSE),0)</f>
        <v>0</v>
      </c>
      <c r="AR103" s="25">
        <f>IF(Table1[[#This Row],[Adjusted_ULife_PF]]=4,VLOOKUP(Table1[[#This Row],[Item_Platform]],[1]!Table2[#All],7,FALSE),0)</f>
        <v>0</v>
      </c>
      <c r="AS103" s="25">
        <f>SUM(Table1[[#This Row],[yr 4_wl]:[yr 4_pf]])</f>
        <v>5769.5709866666684</v>
      </c>
      <c r="AT103" s="25">
        <f>IF(Table1[[#This Row],[Years_Next_Rehab_Well]]=5,VLOOKUP(Table1[[#This Row],[Item_Rehab_WL]],[1]!Table2[#All],8,FALSE),0)</f>
        <v>0</v>
      </c>
      <c r="AU103" s="25">
        <f>IF(Table1[[#This Row],[Adjusted_ULife_HP]]=5,VLOOKUP(Table1[[#This Row],[Item_Handpump]],[1]!Table2[#All],8,FALSE),0)</f>
        <v>0</v>
      </c>
      <c r="AV103" s="25">
        <f>IF(Table1[[#This Row],[Adjusted_ULife_PF]]=5,VLOOKUP(Table1[[#This Row],[Item_Platform]],[1]!Table2[#All],8,FALSE),0)</f>
        <v>0</v>
      </c>
      <c r="AW103" s="25">
        <f>SUM(Table1[[#This Row],[yr 5_wl]:[yr 5_pf]])</f>
        <v>0</v>
      </c>
      <c r="AX103" s="25">
        <f>IF(Table1[[#This Row],[Years_Next_Rehab_Well]]=6,VLOOKUP(Table1[[#This Row],[Item_Rehab_WL]],[1]!Table2[#All],9,FALSE),0)</f>
        <v>0</v>
      </c>
      <c r="AY103" s="25">
        <f>IF(Table1[[#This Row],[Adjusted_ULife_HP]]=6,VLOOKUP(Table1[[#This Row],[Item_Handpump]],[1]!Table2[#All],9,FALSE),0)</f>
        <v>0</v>
      </c>
      <c r="AZ103" s="25">
        <f>IF(Table1[[#This Row],[Adjusted_ULife_PF]]=6,VLOOKUP(Table1[[#This Row],[Item_Platform]],[1]!Table2[#All],9,FALSE),0)</f>
        <v>0</v>
      </c>
      <c r="BA103" s="25">
        <f>SUM(Table1[[#This Row],[yr 6_wl]:[yr 6_pf]])</f>
        <v>0</v>
      </c>
      <c r="BB103" s="25">
        <f>IF(Table1[[#This Row],[Years_Next_Rehab_Well]]=7,VLOOKUP(Table1[[#This Row],[Item_Rehab_WL]],[1]!Table2[#All],10,FALSE),0)</f>
        <v>0</v>
      </c>
      <c r="BC103" s="25">
        <f>IF(Table1[[#This Row],[Adjusted_ULife_HP]]=7,VLOOKUP(Table1[[#This Row],[Item_Handpump]],[1]!Table2[#All],10,FALSE),0)</f>
        <v>0</v>
      </c>
      <c r="BD103" s="25">
        <f>IF(Table1[[#This Row],[Adjusted_ULife_PF]]=7,VLOOKUP(Table1[[#This Row],[Item_Platform]],[1]!Table2[#All],10,FALSE),0)</f>
        <v>3316.0221111091228</v>
      </c>
      <c r="BE103" s="25">
        <f>SUM(Table1[[#This Row],[yr 7_wl]:[yr 7_pf]])</f>
        <v>3316.0221111091228</v>
      </c>
      <c r="BF103" s="25">
        <f>IF(Table1[[#This Row],[Years_Next_Rehab_Well]]=8,VLOOKUP(Table1[[#This Row],[Item_Rehab_WL]],[1]!Table2[#All],11,FALSE),0)</f>
        <v>0</v>
      </c>
      <c r="BG103" s="25">
        <f>IF(Table1[[#This Row],[Adjusted_ULife_HP]]=8,VLOOKUP(Table1[[#This Row],[Item_Handpump]],[1]!Table2[#All],11,FALSE),0)</f>
        <v>0</v>
      </c>
      <c r="BH103" s="25">
        <f>IF(Table1[[#This Row],[Adjusted_ULife_PF]]=8,VLOOKUP(Table1[[#This Row],[Item_Platform]],[1]!Table2[#All],11,FALSE),0)</f>
        <v>0</v>
      </c>
      <c r="BI103" s="25">
        <f>SUM(Table1[[#This Row],[yr 8_wl]:[yr 8_pf]])</f>
        <v>0</v>
      </c>
      <c r="BJ103" s="25">
        <f>IF(Table1[[#This Row],[Years_Next_Rehab_Well]]=9,VLOOKUP(Table1[[#This Row],[Item_Rehab_WL]],[1]!Table2[#All],12,FALSE),0)</f>
        <v>0</v>
      </c>
      <c r="BK103" s="25">
        <f>IF(Table1[[#This Row],[Adjusted_ULife_HP]]=9,VLOOKUP(Table1[[#This Row],[Item_Handpump]],[1]!Table2[#All],12,FALSE),0)</f>
        <v>0</v>
      </c>
      <c r="BL103" s="25">
        <f>IF(Table1[[#This Row],[Adjusted_ULife_PF]]=9,VLOOKUP(Table1[[#This Row],[Item_Platform]],[1]!Table2[#All],12,FALSE),0)</f>
        <v>0</v>
      </c>
      <c r="BM103" s="25">
        <f>SUM(Table1[[#This Row],[yr 9_wl]:[yr 9_pf]])</f>
        <v>0</v>
      </c>
      <c r="BN103" s="25">
        <f>IF(Table1[[#This Row],[Years_Next_Rehab_Well]]=10,VLOOKUP(Table1[[#This Row],[Item_Rehab_WL]],[1]!Table2[#All],13,FALSE),0)</f>
        <v>0</v>
      </c>
      <c r="BO103" s="25">
        <f>IF(Table1[[#This Row],[Adjusted_ULife_HP]]=10,VLOOKUP(Table1[[#This Row],[Item_Handpump]],[1]!Table2[#All],13,FALSE),0)</f>
        <v>0</v>
      </c>
      <c r="BP103" s="25">
        <f>IF(Table1[[#This Row],[Adjusted_ULife_PF]]=10,VLOOKUP(Table1[[#This Row],[Item_Platform]],[1]!Table2[#All],13,FALSE),0)</f>
        <v>0</v>
      </c>
      <c r="BQ103" s="25">
        <f>SUM(Table1[[#This Row],[yr 10_wl]:[yr 10_pf]])</f>
        <v>0</v>
      </c>
      <c r="BR103" s="25">
        <f>IF(Table1[[#This Row],[Years_Next_Rehab_Well]]=11,VLOOKUP(Table1[[#This Row],[Item_Rehab_WL]],[1]!Table2[#All],14,FALSE),0)</f>
        <v>0</v>
      </c>
      <c r="BS103" s="25">
        <f>IF(Table1[[#This Row],[Adjusted_ULife_HP]]=11,VLOOKUP(Table1[[#This Row],[Item_Handpump]],[1]!Table2[#All],14,FALSE),0)</f>
        <v>0</v>
      </c>
      <c r="BT103" s="25">
        <f>IF(Table1[[#This Row],[Adjusted_ULife_PF]]=11,VLOOKUP(Table1[[#This Row],[Item_Platform]],[1]!Table2[#All],14,FALSE),0)</f>
        <v>0</v>
      </c>
      <c r="BU103" s="25">
        <f>SUM(Table1[[#This Row],[yr 11_wl]:[yr 11_pf]])</f>
        <v>0</v>
      </c>
      <c r="BV103" s="25">
        <f>IF(Table1[[#This Row],[Years_Next_Rehab_Well]]=12,VLOOKUP(Table1[[#This Row],[Item_Rehab_WL]],[1]!Table2[#All],15,FALSE),0)</f>
        <v>0</v>
      </c>
      <c r="BW103" s="25">
        <f>IF(Table1[[#This Row],[Adjusted_ULife_HP]]=12,VLOOKUP(Table1[[#This Row],[Item_Handpump]],[1]!Table2[#All],15,FALSE),0)</f>
        <v>0</v>
      </c>
      <c r="BX103" s="25">
        <f>IF(Table1[[#This Row],[Adjusted_ULife_PF]]=12,VLOOKUP(Table1[[#This Row],[Item_Platform]],[1]!Table2[#All],15,FALSE),0)</f>
        <v>0</v>
      </c>
      <c r="BY103" s="25">
        <f>SUM(Table1[[#This Row],[yr 12_wl]:[yr 12_pf]])</f>
        <v>0</v>
      </c>
      <c r="BZ103" s="25">
        <f>IF(Table1[[#This Row],[Years_Next_Rehab_Well]]=13,VLOOKUP(Table1[[#This Row],[Item_Rehab_WL]],[1]!Table2[#All],16,FALSE),0)</f>
        <v>0</v>
      </c>
      <c r="CA103" s="25">
        <f>IF(Table1[[#This Row],[Adjusted_ULife_HP]]=13,VLOOKUP(Table1[[#This Row],[Item_Handpump]],[1]!Table2[#All],16,FALSE),0)</f>
        <v>0</v>
      </c>
      <c r="CB103" s="25">
        <f>IF(Table1[[#This Row],[Adjusted_ULife_PF]]=13,VLOOKUP(Table1[[#This Row],[Item_Platform]],[1]!Table2[#All],16,FALSE),0)</f>
        <v>0</v>
      </c>
      <c r="CC103" s="25">
        <f>SUM(Table1[[#This Row],[yr 13_wl]:[yr 13_pf]])</f>
        <v>0</v>
      </c>
      <c r="CD103" s="12"/>
    </row>
    <row r="104" spans="1:82" s="11" customFormat="1" x14ac:dyDescent="0.25">
      <c r="A104" s="11" t="str">
        <f>IF([1]Input_monitoring_data!A100="","",[1]Input_monitoring_data!A100)</f>
        <v>h8pw-9f1h-xmd9</v>
      </c>
      <c r="B104" s="22" t="str">
        <f>[1]Input_monitoring_data!BH100</f>
        <v>Ntotroso</v>
      </c>
      <c r="C104" s="22" t="str">
        <f>[1]Input_monitoring_data!BI100</f>
        <v>Amamaso Centre</v>
      </c>
      <c r="D104" s="22" t="str">
        <f>[1]Input_monitoring_data!P100</f>
        <v>7.152185424318713</v>
      </c>
      <c r="E104" s="22" t="str">
        <f>[1]Input_monitoring_data!Q100</f>
        <v>-2.33377658182705</v>
      </c>
      <c r="F104" s="22" t="str">
        <f>[1]Input_monitoring_data!V100</f>
        <v>Near Madam Agyemang's House</v>
      </c>
      <c r="G104" s="23" t="str">
        <f>[1]Input_monitoring_data!U100</f>
        <v>Borehole</v>
      </c>
      <c r="H104" s="22">
        <f>[1]Input_monitoring_data!X100</f>
        <v>2012</v>
      </c>
      <c r="I104" s="21" t="str">
        <f>[1]Input_monitoring_data!AB100</f>
        <v>Borehole redevelopment</v>
      </c>
      <c r="J104" s="21">
        <f>[1]Input_monitoring_data!AC100</f>
        <v>0</v>
      </c>
      <c r="K104" s="23" t="str">
        <f>[1]Input_monitoring_data!W100</f>
        <v>AfriDev</v>
      </c>
      <c r="L104" s="22">
        <f>[1]Input_monitoring_data!X100</f>
        <v>2012</v>
      </c>
      <c r="M104" s="21">
        <f>IF([1]Input_monitoring_data!BL100&gt;'Point Sources_Asset_Register_'!L104,[1]Input_monitoring_data!BL100,"")</f>
        <v>2014</v>
      </c>
      <c r="N104" s="22" t="str">
        <f>[1]Input_monitoring_data!BQ100</f>
        <v>not functional</v>
      </c>
      <c r="O104" s="22">
        <f>[1]Input_monitoring_data!AJ100</f>
        <v>0</v>
      </c>
      <c r="P104" s="23" t="s">
        <v>0</v>
      </c>
      <c r="Q104" s="22">
        <f>L104</f>
        <v>2012</v>
      </c>
      <c r="R104" s="21">
        <f>M104</f>
        <v>2014</v>
      </c>
      <c r="S104" s="20">
        <f>[1]Input_EUL_CRC_ERC!$B$17-Table1[[#This Row],[Year Installed_WL]]</f>
        <v>5</v>
      </c>
      <c r="T104" s="20">
        <f>[1]Input_EUL_CRC_ERC!$B$17-(IF(Table1[[#This Row],[Year Last_Rehab_WL ]]=0,Table1[[#This Row],[Year Installed_WL]],[1]Input_EUL_CRC_ERC!$B$17-Table1[[#This Row],[Year Last_Rehab_WL ]]))</f>
        <v>5</v>
      </c>
      <c r="U104" s="20">
        <f>(VLOOKUP(Table1[[#This Row],[Item_Rehab_WL]],[1]Input_EUL_CRC_ERC!$C$17:$E$27,2,FALSE)-Table1[[#This Row],[Last Rehab Age]])</f>
        <v>10</v>
      </c>
      <c r="V104" s="26">
        <f>[1]Input_EUL_CRC_ERC!$B$17-Table1[[#This Row],[Year Installed_HP]]</f>
        <v>5</v>
      </c>
      <c r="W104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04" s="26">
        <f>[1]Input_EUL_CRC_ERC!$B$17-Table1[[#This Row],[Year Installed_PF]]</f>
        <v>5</v>
      </c>
      <c r="Y104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04" s="25">
        <f>IF(Table1[[#This Row],[Years_Next_Rehab_Well]]&lt;=0,VLOOKUP(Table1[[#This Row],[Item_Rehab_WL]],[1]!Table2[#All],3,FALSE),0)</f>
        <v>0</v>
      </c>
      <c r="AA104" s="25">
        <f>IF(Table1[[#This Row],[Adjusted_ULife_HP]]&lt;=0,VLOOKUP(Table1[[#This Row],[Item_Handpump]],[1]!Table2[#All],3,FALSE),0)</f>
        <v>0</v>
      </c>
      <c r="AB104" s="25">
        <f>IF(Table1[[#This Row],[Adjusted_ULife_PF]]&lt;=0,VLOOKUP(Table1[[#This Row],[Item_Platform]],[1]!Table2[#All],3,FALSE),0)</f>
        <v>0</v>
      </c>
      <c r="AC104" s="25">
        <f>SUM(Table1[[#This Row],[current yr_wl]:[current yr_pf]])</f>
        <v>0</v>
      </c>
      <c r="AD104" s="25">
        <f>IF(Table1[[#This Row],[Years_Next_Rehab_Well]]=1,VLOOKUP(Table1[[#This Row],[Item_Rehab_WL]],[1]!Table2[#All],4,FALSE),0)</f>
        <v>0</v>
      </c>
      <c r="AE104" s="25">
        <f>IF(Table1[[#This Row],[Adjusted_ULife_HP]]=1,VLOOKUP(Table1[[#This Row],[Item_Handpump]],[1]!Table2[#All],4,FALSE),0)</f>
        <v>0</v>
      </c>
      <c r="AF104" s="25">
        <f>IF(Table1[[#This Row],[Adjusted_ULife_PF]]=1,VLOOKUP(Table1[[#This Row],[Item_Platform]],[1]!Table2[#All],4,FALSE),0)</f>
        <v>0</v>
      </c>
      <c r="AG104" s="25">
        <f>SUM(Table1[[#This Row],[yr 1_wl]:[yr 1_pf]])</f>
        <v>0</v>
      </c>
      <c r="AH104" s="25">
        <f>IF(Table1[[#This Row],[Years_Next_Rehab_Well]]=2,VLOOKUP(Table1[[#This Row],[Item_Rehab_WL]],[1]!Table2[#All],5,FALSE),0)</f>
        <v>0</v>
      </c>
      <c r="AI104" s="25">
        <f>IF(Table1[[#This Row],[Adjusted_ULife_HP]]=2,VLOOKUP(Table1[[#This Row],[Item_Handpump]],[1]!Table2[#All],5,FALSE),0)</f>
        <v>0</v>
      </c>
      <c r="AJ104" s="25">
        <f>IF(Table1[[#This Row],[Adjusted_ULife_PF]]=2,VLOOKUP(Table1[[#This Row],[Item_Platform]],[1]!Table2[#All],5,FALSE),0)</f>
        <v>0</v>
      </c>
      <c r="AK104" s="25">
        <f>SUM(Table1[[#This Row],[yr 2_wl]:[yr 2_pf]])</f>
        <v>0</v>
      </c>
      <c r="AL104" s="25">
        <f>IF(Table1[[#This Row],[Years_Next_Rehab_Well]]=3,VLOOKUP(Table1[[#This Row],[Item_Rehab_WL]],[1]!Table2[#All],6,FALSE),0)</f>
        <v>0</v>
      </c>
      <c r="AM104" s="25">
        <f>IF(Table1[[#This Row],[Adjusted_ULife_HP]]=3,VLOOKUP(Table1[[#This Row],[Item_Handpump]],[1]!Table2[#All],6,FALSE),0)</f>
        <v>0</v>
      </c>
      <c r="AN104" s="25">
        <f>IF(Table1[[#This Row],[Adjusted_ULife_PF]]=3,VLOOKUP(Table1[[#This Row],[Item_Platform]],[1]!Table2[#All],6,FALSE),0)</f>
        <v>0</v>
      </c>
      <c r="AO104" s="25">
        <f>SUM(Table1[[#This Row],[yr 3_wl]:[yr 3_pf]])</f>
        <v>0</v>
      </c>
      <c r="AP104" s="25">
        <f>IF(Table1[[#This Row],[Years_Next_Rehab_Well]]=4,VLOOKUP(Table1[[#This Row],[Item_Rehab_WL]],[1]!Table2[#All],7,FALSE),0)</f>
        <v>0</v>
      </c>
      <c r="AQ104" s="25">
        <f>IF(Table1[[#This Row],[Adjusted_ULife_HP]]=4,VLOOKUP(Table1[[#This Row],[Item_Handpump]],[1]!Table2[#All],7,FALSE),0)</f>
        <v>0</v>
      </c>
      <c r="AR104" s="25">
        <f>IF(Table1[[#This Row],[Adjusted_ULife_PF]]=4,VLOOKUP(Table1[[#This Row],[Item_Platform]],[1]!Table2[#All],7,FALSE),0)</f>
        <v>0</v>
      </c>
      <c r="AS104" s="25">
        <f>SUM(Table1[[#This Row],[yr 4_wl]:[yr 4_pf]])</f>
        <v>0</v>
      </c>
      <c r="AT104" s="25">
        <f>IF(Table1[[#This Row],[Years_Next_Rehab_Well]]=5,VLOOKUP(Table1[[#This Row],[Item_Rehab_WL]],[1]!Table2[#All],8,FALSE),0)</f>
        <v>0</v>
      </c>
      <c r="AU104" s="25">
        <f>IF(Table1[[#This Row],[Adjusted_ULife_HP]]=5,VLOOKUP(Table1[[#This Row],[Item_Handpump]],[1]!Table2[#All],8,FALSE),0)</f>
        <v>0</v>
      </c>
      <c r="AV104" s="25">
        <f>IF(Table1[[#This Row],[Adjusted_ULife_PF]]=5,VLOOKUP(Table1[[#This Row],[Item_Platform]],[1]!Table2[#All],8,FALSE),0)</f>
        <v>0</v>
      </c>
      <c r="AW104" s="25">
        <f>SUM(Table1[[#This Row],[yr 5_wl]:[yr 5_pf]])</f>
        <v>0</v>
      </c>
      <c r="AX104" s="25">
        <f>IF(Table1[[#This Row],[Years_Next_Rehab_Well]]=6,VLOOKUP(Table1[[#This Row],[Item_Rehab_WL]],[1]!Table2[#All],9,FALSE),0)</f>
        <v>0</v>
      </c>
      <c r="AY104" s="25">
        <f>IF(Table1[[#This Row],[Adjusted_ULife_HP]]=6,VLOOKUP(Table1[[#This Row],[Item_Handpump]],[1]!Table2[#All],9,FALSE),0)</f>
        <v>0</v>
      </c>
      <c r="AZ104" s="25">
        <f>IF(Table1[[#This Row],[Adjusted_ULife_PF]]=6,VLOOKUP(Table1[[#This Row],[Item_Platform]],[1]!Table2[#All],9,FALSE),0)</f>
        <v>0</v>
      </c>
      <c r="BA104" s="25">
        <f>SUM(Table1[[#This Row],[yr 6_wl]:[yr 6_pf]])</f>
        <v>0</v>
      </c>
      <c r="BB104" s="25">
        <f>IF(Table1[[#This Row],[Years_Next_Rehab_Well]]=7,VLOOKUP(Table1[[#This Row],[Item_Rehab_WL]],[1]!Table2[#All],10,FALSE),0)</f>
        <v>0</v>
      </c>
      <c r="BC104" s="25">
        <f>IF(Table1[[#This Row],[Adjusted_ULife_HP]]=7,VLOOKUP(Table1[[#This Row],[Item_Handpump]],[1]!Table2[#All],10,FALSE),0)</f>
        <v>0</v>
      </c>
      <c r="BD104" s="25">
        <f>IF(Table1[[#This Row],[Adjusted_ULife_PF]]=7,VLOOKUP(Table1[[#This Row],[Item_Platform]],[1]!Table2[#All],10,FALSE),0)</f>
        <v>3316.0221111091228</v>
      </c>
      <c r="BE104" s="25">
        <f>SUM(Table1[[#This Row],[yr 7_wl]:[yr 7_pf]])</f>
        <v>3316.0221111091228</v>
      </c>
      <c r="BF104" s="25">
        <f>IF(Table1[[#This Row],[Years_Next_Rehab_Well]]=8,VLOOKUP(Table1[[#This Row],[Item_Rehab_WL]],[1]!Table2[#All],11,FALSE),0)</f>
        <v>0</v>
      </c>
      <c r="BG104" s="25">
        <f>IF(Table1[[#This Row],[Adjusted_ULife_HP]]=8,VLOOKUP(Table1[[#This Row],[Item_Handpump]],[1]!Table2[#All],11,FALSE),0)</f>
        <v>0</v>
      </c>
      <c r="BH104" s="25">
        <f>IF(Table1[[#This Row],[Adjusted_ULife_PF]]=8,VLOOKUP(Table1[[#This Row],[Item_Platform]],[1]!Table2[#All],11,FALSE),0)</f>
        <v>0</v>
      </c>
      <c r="BI104" s="25">
        <f>SUM(Table1[[#This Row],[yr 8_wl]:[yr 8_pf]])</f>
        <v>0</v>
      </c>
      <c r="BJ104" s="25">
        <f>IF(Table1[[#This Row],[Years_Next_Rehab_Well]]=9,VLOOKUP(Table1[[#This Row],[Item_Rehab_WL]],[1]!Table2[#All],12,FALSE),0)</f>
        <v>0</v>
      </c>
      <c r="BK104" s="25">
        <f>IF(Table1[[#This Row],[Adjusted_ULife_HP]]=9,VLOOKUP(Table1[[#This Row],[Item_Handpump]],[1]!Table2[#All],12,FALSE),0)</f>
        <v>0</v>
      </c>
      <c r="BL104" s="25">
        <f>IF(Table1[[#This Row],[Adjusted_ULife_PF]]=9,VLOOKUP(Table1[[#This Row],[Item_Platform]],[1]!Table2[#All],12,FALSE),0)</f>
        <v>0</v>
      </c>
      <c r="BM104" s="25">
        <f>SUM(Table1[[#This Row],[yr 9_wl]:[yr 9_pf]])</f>
        <v>0</v>
      </c>
      <c r="BN104" s="25">
        <f>IF(Table1[[#This Row],[Years_Next_Rehab_Well]]=10,VLOOKUP(Table1[[#This Row],[Item_Rehab_WL]],[1]!Table2[#All],13,FALSE),0)</f>
        <v>11388.110097262112</v>
      </c>
      <c r="BO104" s="25">
        <f>IF(Table1[[#This Row],[Adjusted_ULife_HP]]=10,VLOOKUP(Table1[[#This Row],[Item_Handpump]],[1]!Table2[#All],13,FALSE),0)</f>
        <v>0</v>
      </c>
      <c r="BP104" s="25">
        <f>IF(Table1[[#This Row],[Adjusted_ULife_PF]]=10,VLOOKUP(Table1[[#This Row],[Item_Platform]],[1]!Table2[#All],13,FALSE),0)</f>
        <v>0</v>
      </c>
      <c r="BQ104" s="25">
        <f>SUM(Table1[[#This Row],[yr 10_wl]:[yr 10_pf]])</f>
        <v>11388.110097262112</v>
      </c>
      <c r="BR104" s="25">
        <f>IF(Table1[[#This Row],[Years_Next_Rehab_Well]]=11,VLOOKUP(Table1[[#This Row],[Item_Rehab_WL]],[1]!Table2[#All],14,FALSE),0)</f>
        <v>0</v>
      </c>
      <c r="BS104" s="25">
        <f>IF(Table1[[#This Row],[Adjusted_ULife_HP]]=11,VLOOKUP(Table1[[#This Row],[Item_Handpump]],[1]!Table2[#All],14,FALSE),0)</f>
        <v>0</v>
      </c>
      <c r="BT104" s="25">
        <f>IF(Table1[[#This Row],[Adjusted_ULife_PF]]=11,VLOOKUP(Table1[[#This Row],[Item_Platform]],[1]!Table2[#All],14,FALSE),0)</f>
        <v>0</v>
      </c>
      <c r="BU104" s="25">
        <f>SUM(Table1[[#This Row],[yr 11_wl]:[yr 11_pf]])</f>
        <v>0</v>
      </c>
      <c r="BV104" s="25">
        <f>IF(Table1[[#This Row],[Years_Next_Rehab_Well]]=12,VLOOKUP(Table1[[#This Row],[Item_Rehab_WL]],[1]!Table2[#All],15,FALSE),0)</f>
        <v>0</v>
      </c>
      <c r="BW104" s="25">
        <f>IF(Table1[[#This Row],[Adjusted_ULife_HP]]=12,VLOOKUP(Table1[[#This Row],[Item_Handpump]],[1]!Table2[#All],15,FALSE),0)</f>
        <v>0</v>
      </c>
      <c r="BX104" s="25">
        <f>IF(Table1[[#This Row],[Adjusted_ULife_PF]]=12,VLOOKUP(Table1[[#This Row],[Item_Platform]],[1]!Table2[#All],15,FALSE),0)</f>
        <v>0</v>
      </c>
      <c r="BY104" s="25">
        <f>SUM(Table1[[#This Row],[yr 12_wl]:[yr 12_pf]])</f>
        <v>0</v>
      </c>
      <c r="BZ104" s="25">
        <f>IF(Table1[[#This Row],[Years_Next_Rehab_Well]]=13,VLOOKUP(Table1[[#This Row],[Item_Rehab_WL]],[1]!Table2[#All],16,FALSE),0)</f>
        <v>0</v>
      </c>
      <c r="CA104" s="25">
        <f>IF(Table1[[#This Row],[Adjusted_ULife_HP]]=13,VLOOKUP(Table1[[#This Row],[Item_Handpump]],[1]!Table2[#All],16,FALSE),0)</f>
        <v>0</v>
      </c>
      <c r="CB104" s="25">
        <f>IF(Table1[[#This Row],[Adjusted_ULife_PF]]=13,VLOOKUP(Table1[[#This Row],[Item_Platform]],[1]!Table2[#All],16,FALSE),0)</f>
        <v>0</v>
      </c>
      <c r="CC104" s="25">
        <f>SUM(Table1[[#This Row],[yr 13_wl]:[yr 13_pf]])</f>
        <v>0</v>
      </c>
      <c r="CD104" s="12"/>
    </row>
    <row r="105" spans="1:82" s="11" customFormat="1" x14ac:dyDescent="0.25">
      <c r="A105" s="11" t="str">
        <f>IF([1]Input_monitoring_data!A101="","",[1]Input_monitoring_data!A101)</f>
        <v>hupb-1k55-bpy3</v>
      </c>
      <c r="B105" s="22" t="str">
        <f>[1]Input_monitoring_data!BH101</f>
        <v>NTOTROSO</v>
      </c>
      <c r="C105" s="22" t="str">
        <f>[1]Input_monitoring_data!BI101</f>
        <v>TROME</v>
      </c>
      <c r="D105" s="22" t="str">
        <f>[1]Input_monitoring_data!P101</f>
        <v>7.068975991719493</v>
      </c>
      <c r="E105" s="22" t="str">
        <f>[1]Input_monitoring_data!Q101</f>
        <v>-2.4130149247600703</v>
      </c>
      <c r="F105" s="22" t="str">
        <f>[1]Input_monitoring_data!V101</f>
        <v>Trome Alhaji Akuraa on road side leading to Tewiakrom</v>
      </c>
      <c r="G105" s="23" t="str">
        <f>[1]Input_monitoring_data!U101</f>
        <v>Borehole</v>
      </c>
      <c r="H105" s="22">
        <f>[1]Input_monitoring_data!X101</f>
        <v>2015</v>
      </c>
      <c r="I105" s="21" t="str">
        <f>[1]Input_monitoring_data!AB101</f>
        <v>Borehole redevelopment</v>
      </c>
      <c r="J105" s="21">
        <f>[1]Input_monitoring_data!AC101</f>
        <v>0</v>
      </c>
      <c r="K105" s="23" t="str">
        <f>[1]Input_monitoring_data!W101</f>
        <v>Ghana modified India Mark II</v>
      </c>
      <c r="L105" s="22">
        <f>[1]Input_monitoring_data!X101</f>
        <v>2015</v>
      </c>
      <c r="M105" s="21" t="str">
        <f>IF([1]Input_monitoring_data!BL101&gt;'Point Sources_Asset_Register_'!L105,[1]Input_monitoring_data!BL101,"")</f>
        <v/>
      </c>
      <c r="N105" s="22" t="str">
        <f>[1]Input_monitoring_data!BQ101</f>
        <v>not functional</v>
      </c>
      <c r="O105" s="22" t="str">
        <f>[1]Input_monitoring_data!AJ101</f>
        <v>Unknown</v>
      </c>
      <c r="P105" s="23" t="s">
        <v>0</v>
      </c>
      <c r="Q105" s="22">
        <f>L105</f>
        <v>2015</v>
      </c>
      <c r="R105" s="21" t="str">
        <f>M105</f>
        <v/>
      </c>
      <c r="S105" s="20">
        <f>[1]Input_EUL_CRC_ERC!$B$17-Table1[[#This Row],[Year Installed_WL]]</f>
        <v>2</v>
      </c>
      <c r="T105" s="20">
        <f>[1]Input_EUL_CRC_ERC!$B$17-(IF(Table1[[#This Row],[Year Last_Rehab_WL ]]=0,Table1[[#This Row],[Year Installed_WL]],[1]Input_EUL_CRC_ERC!$B$17-Table1[[#This Row],[Year Last_Rehab_WL ]]))</f>
        <v>2</v>
      </c>
      <c r="U105" s="20">
        <f>(VLOOKUP(Table1[[#This Row],[Item_Rehab_WL]],[1]Input_EUL_CRC_ERC!$C$17:$E$27,2,FALSE)-Table1[[#This Row],[Last Rehab Age]])</f>
        <v>13</v>
      </c>
      <c r="V105" s="26">
        <f>[1]Input_EUL_CRC_ERC!$B$17-Table1[[#This Row],[Year Installed_HP]]</f>
        <v>2</v>
      </c>
      <c r="W105" s="26">
        <f>(VLOOKUP(Table1[[#This Row],[Item_Handpump]],[1]!Table2[#All],2,FALSE))-(IF(Table1[[#This Row],[Year Last_Rehab_HP]]="",Table1[[#This Row],[Current Age_Handpump]],[1]Input_EUL_CRC_ERC!$B$17-Table1[[#This Row],[Year Last_Rehab_HP]]))</f>
        <v>18</v>
      </c>
      <c r="X105" s="26">
        <f>[1]Input_EUL_CRC_ERC!$B$17-Table1[[#This Row],[Year Installed_PF]]</f>
        <v>2</v>
      </c>
      <c r="Y105" s="26">
        <f>(VLOOKUP(Table1[[#This Row],[Item_Platform]],[1]!Table2[#All],2,FALSE))-(IF(Table1[[#This Row],[Year Last_Rehab_PF]]="",Table1[[#This Row],[Current Age_Platform]],[1]Input_EUL_CRC_ERC!$B$17-Table1[[#This Row],[Year Last_Rehab_PF]]))</f>
        <v>8</v>
      </c>
      <c r="Z105" s="25">
        <f>IF(Table1[[#This Row],[Years_Next_Rehab_Well]]&lt;=0,VLOOKUP(Table1[[#This Row],[Item_Rehab_WL]],[1]!Table2[#All],3,FALSE),0)</f>
        <v>0</v>
      </c>
      <c r="AA105" s="25">
        <f>IF(Table1[[#This Row],[Adjusted_ULife_HP]]&lt;=0,VLOOKUP(Table1[[#This Row],[Item_Handpump]],[1]!Table2[#All],3,FALSE),0)</f>
        <v>0</v>
      </c>
      <c r="AB105" s="25">
        <f>IF(Table1[[#This Row],[Adjusted_ULife_PF]]&lt;=0,VLOOKUP(Table1[[#This Row],[Item_Platform]],[1]!Table2[#All],3,FALSE),0)</f>
        <v>0</v>
      </c>
      <c r="AC105" s="25">
        <f>SUM(Table1[[#This Row],[current yr_wl]:[current yr_pf]])</f>
        <v>0</v>
      </c>
      <c r="AD105" s="25">
        <f>IF(Table1[[#This Row],[Years_Next_Rehab_Well]]=1,VLOOKUP(Table1[[#This Row],[Item_Rehab_WL]],[1]!Table2[#All],4,FALSE),0)</f>
        <v>0</v>
      </c>
      <c r="AE105" s="25">
        <f>IF(Table1[[#This Row],[Adjusted_ULife_HP]]=1,VLOOKUP(Table1[[#This Row],[Item_Handpump]],[1]!Table2[#All],4,FALSE),0)</f>
        <v>0</v>
      </c>
      <c r="AF105" s="25">
        <f>IF(Table1[[#This Row],[Adjusted_ULife_PF]]=1,VLOOKUP(Table1[[#This Row],[Item_Platform]],[1]!Table2[#All],4,FALSE),0)</f>
        <v>0</v>
      </c>
      <c r="AG105" s="25">
        <f>SUM(Table1[[#This Row],[yr 1_wl]:[yr 1_pf]])</f>
        <v>0</v>
      </c>
      <c r="AH105" s="25">
        <f>IF(Table1[[#This Row],[Years_Next_Rehab_Well]]=2,VLOOKUP(Table1[[#This Row],[Item_Rehab_WL]],[1]!Table2[#All],5,FALSE),0)</f>
        <v>0</v>
      </c>
      <c r="AI105" s="25">
        <f>IF(Table1[[#This Row],[Adjusted_ULife_HP]]=2,VLOOKUP(Table1[[#This Row],[Item_Handpump]],[1]!Table2[#All],5,FALSE),0)</f>
        <v>0</v>
      </c>
      <c r="AJ105" s="25">
        <f>IF(Table1[[#This Row],[Adjusted_ULife_PF]]=2,VLOOKUP(Table1[[#This Row],[Item_Platform]],[1]!Table2[#All],5,FALSE),0)</f>
        <v>0</v>
      </c>
      <c r="AK105" s="25">
        <f>SUM(Table1[[#This Row],[yr 2_wl]:[yr 2_pf]])</f>
        <v>0</v>
      </c>
      <c r="AL105" s="25">
        <f>IF(Table1[[#This Row],[Years_Next_Rehab_Well]]=3,VLOOKUP(Table1[[#This Row],[Item_Rehab_WL]],[1]!Table2[#All],6,FALSE),0)</f>
        <v>0</v>
      </c>
      <c r="AM105" s="25">
        <f>IF(Table1[[#This Row],[Adjusted_ULife_HP]]=3,VLOOKUP(Table1[[#This Row],[Item_Handpump]],[1]!Table2[#All],6,FALSE),0)</f>
        <v>0</v>
      </c>
      <c r="AN105" s="25">
        <f>IF(Table1[[#This Row],[Adjusted_ULife_PF]]=3,VLOOKUP(Table1[[#This Row],[Item_Platform]],[1]!Table2[#All],6,FALSE),0)</f>
        <v>0</v>
      </c>
      <c r="AO105" s="25">
        <f>SUM(Table1[[#This Row],[yr 3_wl]:[yr 3_pf]])</f>
        <v>0</v>
      </c>
      <c r="AP105" s="25">
        <f>IF(Table1[[#This Row],[Years_Next_Rehab_Well]]=4,VLOOKUP(Table1[[#This Row],[Item_Rehab_WL]],[1]!Table2[#All],7,FALSE),0)</f>
        <v>0</v>
      </c>
      <c r="AQ105" s="25">
        <f>IF(Table1[[#This Row],[Adjusted_ULife_HP]]=4,VLOOKUP(Table1[[#This Row],[Item_Handpump]],[1]!Table2[#All],7,FALSE),0)</f>
        <v>0</v>
      </c>
      <c r="AR105" s="25">
        <f>IF(Table1[[#This Row],[Adjusted_ULife_PF]]=4,VLOOKUP(Table1[[#This Row],[Item_Platform]],[1]!Table2[#All],7,FALSE),0)</f>
        <v>0</v>
      </c>
      <c r="AS105" s="25">
        <f>SUM(Table1[[#This Row],[yr 4_wl]:[yr 4_pf]])</f>
        <v>0</v>
      </c>
      <c r="AT105" s="25">
        <f>IF(Table1[[#This Row],[Years_Next_Rehab_Well]]=5,VLOOKUP(Table1[[#This Row],[Item_Rehab_WL]],[1]!Table2[#All],8,FALSE),0)</f>
        <v>0</v>
      </c>
      <c r="AU105" s="25">
        <f>IF(Table1[[#This Row],[Adjusted_ULife_HP]]=5,VLOOKUP(Table1[[#This Row],[Item_Handpump]],[1]!Table2[#All],8,FALSE),0)</f>
        <v>0</v>
      </c>
      <c r="AV105" s="25">
        <f>IF(Table1[[#This Row],[Adjusted_ULife_PF]]=5,VLOOKUP(Table1[[#This Row],[Item_Platform]],[1]!Table2[#All],8,FALSE),0)</f>
        <v>0</v>
      </c>
      <c r="AW105" s="25">
        <f>SUM(Table1[[#This Row],[yr 5_wl]:[yr 5_pf]])</f>
        <v>0</v>
      </c>
      <c r="AX105" s="25">
        <f>IF(Table1[[#This Row],[Years_Next_Rehab_Well]]=6,VLOOKUP(Table1[[#This Row],[Item_Rehab_WL]],[1]!Table2[#All],9,FALSE),0)</f>
        <v>0</v>
      </c>
      <c r="AY105" s="25">
        <f>IF(Table1[[#This Row],[Adjusted_ULife_HP]]=6,VLOOKUP(Table1[[#This Row],[Item_Handpump]],[1]!Table2[#All],9,FALSE),0)</f>
        <v>0</v>
      </c>
      <c r="AZ105" s="25">
        <f>IF(Table1[[#This Row],[Adjusted_ULife_PF]]=6,VLOOKUP(Table1[[#This Row],[Item_Platform]],[1]!Table2[#All],9,FALSE),0)</f>
        <v>0</v>
      </c>
      <c r="BA105" s="25">
        <f>SUM(Table1[[#This Row],[yr 6_wl]:[yr 6_pf]])</f>
        <v>0</v>
      </c>
      <c r="BB105" s="25">
        <f>IF(Table1[[#This Row],[Years_Next_Rehab_Well]]=7,VLOOKUP(Table1[[#This Row],[Item_Rehab_WL]],[1]!Table2[#All],10,FALSE),0)</f>
        <v>0</v>
      </c>
      <c r="BC105" s="25">
        <f>IF(Table1[[#This Row],[Adjusted_ULife_HP]]=7,VLOOKUP(Table1[[#This Row],[Item_Handpump]],[1]!Table2[#All],10,FALSE),0)</f>
        <v>0</v>
      </c>
      <c r="BD105" s="25">
        <f>IF(Table1[[#This Row],[Adjusted_ULife_PF]]=7,VLOOKUP(Table1[[#This Row],[Item_Platform]],[1]!Table2[#All],10,FALSE),0)</f>
        <v>0</v>
      </c>
      <c r="BE105" s="25">
        <f>SUM(Table1[[#This Row],[yr 7_wl]:[yr 7_pf]])</f>
        <v>0</v>
      </c>
      <c r="BF105" s="25">
        <f>IF(Table1[[#This Row],[Years_Next_Rehab_Well]]=8,VLOOKUP(Table1[[#This Row],[Item_Rehab_WL]],[1]!Table2[#All],11,FALSE),0)</f>
        <v>0</v>
      </c>
      <c r="BG105" s="25">
        <f>IF(Table1[[#This Row],[Adjusted_ULife_HP]]=8,VLOOKUP(Table1[[#This Row],[Item_Handpump]],[1]!Table2[#All],11,FALSE),0)</f>
        <v>0</v>
      </c>
      <c r="BH105" s="25">
        <f>IF(Table1[[#This Row],[Adjusted_ULife_PF]]=8,VLOOKUP(Table1[[#This Row],[Item_Platform]],[1]!Table2[#All],11,FALSE),0)</f>
        <v>3713.944764442218</v>
      </c>
      <c r="BI105" s="25">
        <f>SUM(Table1[[#This Row],[yr 8_wl]:[yr 8_pf]])</f>
        <v>3713.944764442218</v>
      </c>
      <c r="BJ105" s="25">
        <f>IF(Table1[[#This Row],[Years_Next_Rehab_Well]]=9,VLOOKUP(Table1[[#This Row],[Item_Rehab_WL]],[1]!Table2[#All],12,FALSE),0)</f>
        <v>0</v>
      </c>
      <c r="BK105" s="25">
        <f>IF(Table1[[#This Row],[Adjusted_ULife_HP]]=9,VLOOKUP(Table1[[#This Row],[Item_Handpump]],[1]!Table2[#All],12,FALSE),0)</f>
        <v>0</v>
      </c>
      <c r="BL105" s="25">
        <f>IF(Table1[[#This Row],[Adjusted_ULife_PF]]=9,VLOOKUP(Table1[[#This Row],[Item_Platform]],[1]!Table2[#All],12,FALSE),0)</f>
        <v>0</v>
      </c>
      <c r="BM105" s="25">
        <f>SUM(Table1[[#This Row],[yr 9_wl]:[yr 9_pf]])</f>
        <v>0</v>
      </c>
      <c r="BN105" s="25">
        <f>IF(Table1[[#This Row],[Years_Next_Rehab_Well]]=10,VLOOKUP(Table1[[#This Row],[Item_Rehab_WL]],[1]!Table2[#All],13,FALSE),0)</f>
        <v>0</v>
      </c>
      <c r="BO105" s="25">
        <f>IF(Table1[[#This Row],[Adjusted_ULife_HP]]=10,VLOOKUP(Table1[[#This Row],[Item_Handpump]],[1]!Table2[#All],13,FALSE),0)</f>
        <v>0</v>
      </c>
      <c r="BP105" s="25">
        <f>IF(Table1[[#This Row],[Adjusted_ULife_PF]]=10,VLOOKUP(Table1[[#This Row],[Item_Platform]],[1]!Table2[#All],13,FALSE),0)</f>
        <v>0</v>
      </c>
      <c r="BQ105" s="25">
        <f>SUM(Table1[[#This Row],[yr 10_wl]:[yr 10_pf]])</f>
        <v>0</v>
      </c>
      <c r="BR105" s="25">
        <f>IF(Table1[[#This Row],[Years_Next_Rehab_Well]]=11,VLOOKUP(Table1[[#This Row],[Item_Rehab_WL]],[1]!Table2[#All],14,FALSE),0)</f>
        <v>0</v>
      </c>
      <c r="BS105" s="25">
        <f>IF(Table1[[#This Row],[Adjusted_ULife_HP]]=11,VLOOKUP(Table1[[#This Row],[Item_Handpump]],[1]!Table2[#All],14,FALSE),0)</f>
        <v>0</v>
      </c>
      <c r="BT105" s="25">
        <f>IF(Table1[[#This Row],[Adjusted_ULife_PF]]=11,VLOOKUP(Table1[[#This Row],[Item_Platform]],[1]!Table2[#All],14,FALSE),0)</f>
        <v>0</v>
      </c>
      <c r="BU105" s="25">
        <f>SUM(Table1[[#This Row],[yr 11_wl]:[yr 11_pf]])</f>
        <v>0</v>
      </c>
      <c r="BV105" s="25">
        <f>IF(Table1[[#This Row],[Years_Next_Rehab_Well]]=12,VLOOKUP(Table1[[#This Row],[Item_Rehab_WL]],[1]!Table2[#All],15,FALSE),0)</f>
        <v>0</v>
      </c>
      <c r="BW105" s="25">
        <f>IF(Table1[[#This Row],[Adjusted_ULife_HP]]=12,VLOOKUP(Table1[[#This Row],[Item_Handpump]],[1]!Table2[#All],15,FALSE),0)</f>
        <v>0</v>
      </c>
      <c r="BX105" s="25">
        <f>IF(Table1[[#This Row],[Adjusted_ULife_PF]]=12,VLOOKUP(Table1[[#This Row],[Item_Platform]],[1]!Table2[#All],15,FALSE),0)</f>
        <v>0</v>
      </c>
      <c r="BY105" s="25">
        <f>SUM(Table1[[#This Row],[yr 12_wl]:[yr 12_pf]])</f>
        <v>0</v>
      </c>
      <c r="BZ105" s="25">
        <f>IF(Table1[[#This Row],[Years_Next_Rehab_Well]]=13,VLOOKUP(Table1[[#This Row],[Item_Rehab_WL]],[1]!Table2[#All],16,FALSE),0)</f>
        <v>15999.474742726268</v>
      </c>
      <c r="CA105" s="25">
        <f>IF(Table1[[#This Row],[Adjusted_ULife_HP]]=13,VLOOKUP(Table1[[#This Row],[Item_Handpump]],[1]!Table2[#All],16,FALSE),0)</f>
        <v>0</v>
      </c>
      <c r="CB105" s="25">
        <f>IF(Table1[[#This Row],[Adjusted_ULife_PF]]=13,VLOOKUP(Table1[[#This Row],[Item_Platform]],[1]!Table2[#All],16,FALSE),0)</f>
        <v>0</v>
      </c>
      <c r="CC105" s="25">
        <f>SUM(Table1[[#This Row],[yr 13_wl]:[yr 13_pf]])</f>
        <v>15999.474742726268</v>
      </c>
      <c r="CD105" s="12"/>
    </row>
    <row r="106" spans="1:82" s="11" customFormat="1" x14ac:dyDescent="0.25">
      <c r="A106" s="11" t="str">
        <f>IF([1]Input_monitoring_data!A102="","",[1]Input_monitoring_data!A102)</f>
        <v>hx2a-n4bd-hbs6</v>
      </c>
      <c r="B106" s="22" t="str">
        <f>[1]Input_monitoring_data!BH102</f>
        <v>Kenyasi No.1</v>
      </c>
      <c r="C106" s="22" t="str">
        <f>[1]Input_monitoring_data!BI102</f>
        <v>Donkorkrom</v>
      </c>
      <c r="D106" s="22" t="str">
        <f>[1]Input_monitoring_data!P102</f>
        <v>6.925859913819012</v>
      </c>
      <c r="E106" s="22" t="str">
        <f>[1]Input_monitoring_data!Q102</f>
        <v>-2.4330914140587643</v>
      </c>
      <c r="F106" s="22" t="str">
        <f>[1]Input_monitoring_data!V102</f>
        <v>Rural Health Clinic Premises</v>
      </c>
      <c r="G106" s="23" t="str">
        <f>[1]Input_monitoring_data!U102</f>
        <v>Borehole</v>
      </c>
      <c r="H106" s="22">
        <f>[1]Input_monitoring_data!X102</f>
        <v>2011</v>
      </c>
      <c r="I106" s="21" t="str">
        <f>[1]Input_monitoring_data!AB102</f>
        <v>Borehole redevelopment</v>
      </c>
      <c r="J106" s="21">
        <f>[1]Input_monitoring_data!AC102</f>
        <v>0</v>
      </c>
      <c r="K106" s="23" t="str">
        <f>[1]Input_monitoring_data!W102</f>
        <v>AfriDev</v>
      </c>
      <c r="L106" s="22">
        <f>[1]Input_monitoring_data!X102</f>
        <v>2011</v>
      </c>
      <c r="M106" s="21">
        <f>IF([1]Input_monitoring_data!BL102&gt;'Point Sources_Asset_Register_'!L106,[1]Input_monitoring_data!BL102,"")</f>
        <v>2016</v>
      </c>
      <c r="N106" s="22" t="str">
        <f>[1]Input_monitoring_data!BQ102</f>
        <v>functional</v>
      </c>
      <c r="O106" s="22">
        <f>[1]Input_monitoring_data!AJ102</f>
        <v>0</v>
      </c>
      <c r="P106" s="23" t="s">
        <v>0</v>
      </c>
      <c r="Q106" s="22">
        <f>L106</f>
        <v>2011</v>
      </c>
      <c r="R106" s="21">
        <f>M106</f>
        <v>2016</v>
      </c>
      <c r="S106" s="20">
        <f>[1]Input_EUL_CRC_ERC!$B$17-Table1[[#This Row],[Year Installed_WL]]</f>
        <v>6</v>
      </c>
      <c r="T106" s="20">
        <f>[1]Input_EUL_CRC_ERC!$B$17-(IF(Table1[[#This Row],[Year Last_Rehab_WL ]]=0,Table1[[#This Row],[Year Installed_WL]],[1]Input_EUL_CRC_ERC!$B$17-Table1[[#This Row],[Year Last_Rehab_WL ]]))</f>
        <v>6</v>
      </c>
      <c r="U106" s="20">
        <f>(VLOOKUP(Table1[[#This Row],[Item_Rehab_WL]],[1]Input_EUL_CRC_ERC!$C$17:$E$27,2,FALSE)-Table1[[#This Row],[Last Rehab Age]])</f>
        <v>9</v>
      </c>
      <c r="V106" s="19">
        <f>[1]Input_EUL_CRC_ERC!$B$17-Table1[[#This Row],[Year Installed_HP]]</f>
        <v>6</v>
      </c>
      <c r="W106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06" s="19">
        <f>[1]Input_EUL_CRC_ERC!$B$17-Table1[[#This Row],[Year Installed_PF]]</f>
        <v>6</v>
      </c>
      <c r="Y106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06" s="25">
        <f>IF(Table1[[#This Row],[Years_Next_Rehab_Well]]&lt;=0,VLOOKUP(Table1[[#This Row],[Item_Rehab_WL]],[1]!Table2[#All],3,FALSE),0)</f>
        <v>0</v>
      </c>
      <c r="AA106" s="18">
        <f>IF(Table1[[#This Row],[Adjusted_ULife_HP]]&lt;=0,VLOOKUP(Table1[[#This Row],[Item_Handpump]],[1]!Table2[#All],3,FALSE),0)</f>
        <v>0</v>
      </c>
      <c r="AB106" s="18">
        <f>IF(Table1[[#This Row],[Adjusted_ULife_PF]]&lt;=0,VLOOKUP(Table1[[#This Row],[Item_Platform]],[1]!Table2[#All],3,FALSE),0)</f>
        <v>0</v>
      </c>
      <c r="AC106" s="18">
        <f>SUM(Table1[[#This Row],[current yr_wl]:[current yr_pf]])</f>
        <v>0</v>
      </c>
      <c r="AD106" s="25">
        <f>IF(Table1[[#This Row],[Years_Next_Rehab_Well]]=1,VLOOKUP(Table1[[#This Row],[Item_Rehab_WL]],[1]!Table2[#All],4,FALSE),0)</f>
        <v>0</v>
      </c>
      <c r="AE106" s="25">
        <f>IF(Table1[[#This Row],[Adjusted_ULife_HP]]=1,VLOOKUP(Table1[[#This Row],[Item_Handpump]],[1]!Table2[#All],4,FALSE),0)</f>
        <v>0</v>
      </c>
      <c r="AF106" s="25">
        <f>IF(Table1[[#This Row],[Adjusted_ULife_PF]]=1,VLOOKUP(Table1[[#This Row],[Item_Platform]],[1]!Table2[#All],4,FALSE),0)</f>
        <v>0</v>
      </c>
      <c r="AG106" s="25">
        <f>SUM(Table1[[#This Row],[yr 1_wl]:[yr 1_pf]])</f>
        <v>0</v>
      </c>
      <c r="AH106" s="25">
        <f>IF(Table1[[#This Row],[Years_Next_Rehab_Well]]=2,VLOOKUP(Table1[[#This Row],[Item_Rehab_WL]],[1]!Table2[#All],5,FALSE),0)</f>
        <v>0</v>
      </c>
      <c r="AI106" s="25">
        <f>IF(Table1[[#This Row],[Adjusted_ULife_HP]]=2,VLOOKUP(Table1[[#This Row],[Item_Handpump]],[1]!Table2[#All],5,FALSE),0)</f>
        <v>0</v>
      </c>
      <c r="AJ106" s="25">
        <f>IF(Table1[[#This Row],[Adjusted_ULife_PF]]=2,VLOOKUP(Table1[[#This Row],[Item_Platform]],[1]!Table2[#All],5,FALSE),0)</f>
        <v>0</v>
      </c>
      <c r="AK106" s="25">
        <f>SUM(Table1[[#This Row],[yr 2_wl]:[yr 2_pf]])</f>
        <v>0</v>
      </c>
      <c r="AL106" s="25">
        <f>IF(Table1[[#This Row],[Years_Next_Rehab_Well]]=3,VLOOKUP(Table1[[#This Row],[Item_Rehab_WL]],[1]!Table2[#All],6,FALSE),0)</f>
        <v>0</v>
      </c>
      <c r="AM106" s="25">
        <f>IF(Table1[[#This Row],[Adjusted_ULife_HP]]=3,VLOOKUP(Table1[[#This Row],[Item_Handpump]],[1]!Table2[#All],6,FALSE),0)</f>
        <v>0</v>
      </c>
      <c r="AN106" s="25">
        <f>IF(Table1[[#This Row],[Adjusted_ULife_PF]]=3,VLOOKUP(Table1[[#This Row],[Item_Platform]],[1]!Table2[#All],6,FALSE),0)</f>
        <v>0</v>
      </c>
      <c r="AO106" s="25">
        <f>SUM(Table1[[#This Row],[yr 3_wl]:[yr 3_pf]])</f>
        <v>0</v>
      </c>
      <c r="AP106" s="25">
        <f>IF(Table1[[#This Row],[Years_Next_Rehab_Well]]=4,VLOOKUP(Table1[[#This Row],[Item_Rehab_WL]],[1]!Table2[#All],7,FALSE),0)</f>
        <v>0</v>
      </c>
      <c r="AQ106" s="25">
        <f>IF(Table1[[#This Row],[Adjusted_ULife_HP]]=4,VLOOKUP(Table1[[#This Row],[Item_Handpump]],[1]!Table2[#All],7,FALSE),0)</f>
        <v>0</v>
      </c>
      <c r="AR106" s="25">
        <f>IF(Table1[[#This Row],[Adjusted_ULife_PF]]=4,VLOOKUP(Table1[[#This Row],[Item_Platform]],[1]!Table2[#All],7,FALSE),0)</f>
        <v>0</v>
      </c>
      <c r="AS106" s="25">
        <f>SUM(Table1[[#This Row],[yr 4_wl]:[yr 4_pf]])</f>
        <v>0</v>
      </c>
      <c r="AT106" s="25">
        <f>IF(Table1[[#This Row],[Years_Next_Rehab_Well]]=5,VLOOKUP(Table1[[#This Row],[Item_Rehab_WL]],[1]!Table2[#All],8,FALSE),0)</f>
        <v>0</v>
      </c>
      <c r="AU106" s="25">
        <f>IF(Table1[[#This Row],[Adjusted_ULife_HP]]=5,VLOOKUP(Table1[[#This Row],[Item_Handpump]],[1]!Table2[#All],8,FALSE),0)</f>
        <v>0</v>
      </c>
      <c r="AV106" s="25">
        <f>IF(Table1[[#This Row],[Adjusted_ULife_PF]]=5,VLOOKUP(Table1[[#This Row],[Item_Platform]],[1]!Table2[#All],8,FALSE),0)</f>
        <v>0</v>
      </c>
      <c r="AW106" s="25">
        <f>SUM(Table1[[#This Row],[yr 5_wl]:[yr 5_pf]])</f>
        <v>0</v>
      </c>
      <c r="AX106" s="25">
        <f>IF(Table1[[#This Row],[Years_Next_Rehab_Well]]=6,VLOOKUP(Table1[[#This Row],[Item_Rehab_WL]],[1]!Table2[#All],9,FALSE),0)</f>
        <v>0</v>
      </c>
      <c r="AY106" s="25">
        <f>IF(Table1[[#This Row],[Adjusted_ULife_HP]]=6,VLOOKUP(Table1[[#This Row],[Item_Handpump]],[1]!Table2[#All],9,FALSE),0)</f>
        <v>0</v>
      </c>
      <c r="AZ106" s="25">
        <f>IF(Table1[[#This Row],[Adjusted_ULife_PF]]=6,VLOOKUP(Table1[[#This Row],[Item_Platform]],[1]!Table2[#All],9,FALSE),0)</f>
        <v>0</v>
      </c>
      <c r="BA106" s="25">
        <f>SUM(Table1[[#This Row],[yr 6_wl]:[yr 6_pf]])</f>
        <v>0</v>
      </c>
      <c r="BB106" s="25">
        <f>IF(Table1[[#This Row],[Years_Next_Rehab_Well]]=7,VLOOKUP(Table1[[#This Row],[Item_Rehab_WL]],[1]!Table2[#All],10,FALSE),0)</f>
        <v>0</v>
      </c>
      <c r="BC106" s="25">
        <f>IF(Table1[[#This Row],[Adjusted_ULife_HP]]=7,VLOOKUP(Table1[[#This Row],[Item_Handpump]],[1]!Table2[#All],10,FALSE),0)</f>
        <v>0</v>
      </c>
      <c r="BD106" s="25">
        <f>IF(Table1[[#This Row],[Adjusted_ULife_PF]]=7,VLOOKUP(Table1[[#This Row],[Item_Platform]],[1]!Table2[#All],10,FALSE),0)</f>
        <v>0</v>
      </c>
      <c r="BE106" s="25">
        <f>SUM(Table1[[#This Row],[yr 7_wl]:[yr 7_pf]])</f>
        <v>0</v>
      </c>
      <c r="BF106" s="25">
        <f>IF(Table1[[#This Row],[Years_Next_Rehab_Well]]=8,VLOOKUP(Table1[[#This Row],[Item_Rehab_WL]],[1]!Table2[#All],11,FALSE),0)</f>
        <v>0</v>
      </c>
      <c r="BG106" s="25">
        <f>IF(Table1[[#This Row],[Adjusted_ULife_HP]]=8,VLOOKUP(Table1[[#This Row],[Item_Handpump]],[1]!Table2[#All],11,FALSE),0)</f>
        <v>0</v>
      </c>
      <c r="BH106" s="25">
        <f>IF(Table1[[#This Row],[Adjusted_ULife_PF]]=8,VLOOKUP(Table1[[#This Row],[Item_Platform]],[1]!Table2[#All],11,FALSE),0)</f>
        <v>0</v>
      </c>
      <c r="BI106" s="25">
        <f>SUM(Table1[[#This Row],[yr 8_wl]:[yr 8_pf]])</f>
        <v>0</v>
      </c>
      <c r="BJ106" s="25">
        <f>IF(Table1[[#This Row],[Years_Next_Rehab_Well]]=9,VLOOKUP(Table1[[#This Row],[Item_Rehab_WL]],[1]!Table2[#All],12,FALSE),0)</f>
        <v>10167.955443984027</v>
      </c>
      <c r="BK106" s="25">
        <f>IF(Table1[[#This Row],[Adjusted_ULife_HP]]=9,VLOOKUP(Table1[[#This Row],[Item_Handpump]],[1]!Table2[#All],12,FALSE),0)</f>
        <v>0</v>
      </c>
      <c r="BL106" s="25">
        <f>IF(Table1[[#This Row],[Adjusted_ULife_PF]]=9,VLOOKUP(Table1[[#This Row],[Item_Platform]],[1]!Table2[#All],12,FALSE),0)</f>
        <v>4159.6181361752842</v>
      </c>
      <c r="BM106" s="25">
        <f>SUM(Table1[[#This Row],[yr 9_wl]:[yr 9_pf]])</f>
        <v>14327.573580159311</v>
      </c>
      <c r="BN106" s="25">
        <f>IF(Table1[[#This Row],[Years_Next_Rehab_Well]]=10,VLOOKUP(Table1[[#This Row],[Item_Rehab_WL]],[1]!Table2[#All],13,FALSE),0)</f>
        <v>0</v>
      </c>
      <c r="BO106" s="25">
        <f>IF(Table1[[#This Row],[Adjusted_ULife_HP]]=10,VLOOKUP(Table1[[#This Row],[Item_Handpump]],[1]!Table2[#All],13,FALSE),0)</f>
        <v>0</v>
      </c>
      <c r="BP106" s="25">
        <f>IF(Table1[[#This Row],[Adjusted_ULife_PF]]=10,VLOOKUP(Table1[[#This Row],[Item_Platform]],[1]!Table2[#All],13,FALSE),0)</f>
        <v>0</v>
      </c>
      <c r="BQ106" s="25">
        <f>SUM(Table1[[#This Row],[yr 10_wl]:[yr 10_pf]])</f>
        <v>0</v>
      </c>
      <c r="BR106" s="25">
        <f>IF(Table1[[#This Row],[Years_Next_Rehab_Well]]=11,VLOOKUP(Table1[[#This Row],[Item_Rehab_WL]],[1]!Table2[#All],14,FALSE),0)</f>
        <v>0</v>
      </c>
      <c r="BS106" s="25">
        <f>IF(Table1[[#This Row],[Adjusted_ULife_HP]]=11,VLOOKUP(Table1[[#This Row],[Item_Handpump]],[1]!Table2[#All],14,FALSE),0)</f>
        <v>0</v>
      </c>
      <c r="BT106" s="25">
        <f>IF(Table1[[#This Row],[Adjusted_ULife_PF]]=11,VLOOKUP(Table1[[#This Row],[Item_Platform]],[1]!Table2[#All],14,FALSE),0)</f>
        <v>0</v>
      </c>
      <c r="BU106" s="25">
        <f>SUM(Table1[[#This Row],[yr 11_wl]:[yr 11_pf]])</f>
        <v>0</v>
      </c>
      <c r="BV106" s="25">
        <f>IF(Table1[[#This Row],[Years_Next_Rehab_Well]]=12,VLOOKUP(Table1[[#This Row],[Item_Rehab_WL]],[1]!Table2[#All],15,FALSE),0)</f>
        <v>0</v>
      </c>
      <c r="BW106" s="25">
        <f>IF(Table1[[#This Row],[Adjusted_ULife_HP]]=12,VLOOKUP(Table1[[#This Row],[Item_Handpump]],[1]!Table2[#All],15,FALSE),0)</f>
        <v>0</v>
      </c>
      <c r="BX106" s="25">
        <f>IF(Table1[[#This Row],[Adjusted_ULife_PF]]=12,VLOOKUP(Table1[[#This Row],[Item_Platform]],[1]!Table2[#All],15,FALSE),0)</f>
        <v>0</v>
      </c>
      <c r="BY106" s="25">
        <f>SUM(Table1[[#This Row],[yr 12_wl]:[yr 12_pf]])</f>
        <v>0</v>
      </c>
      <c r="BZ106" s="25">
        <f>IF(Table1[[#This Row],[Years_Next_Rehab_Well]]=13,VLOOKUP(Table1[[#This Row],[Item_Rehab_WL]],[1]!Table2[#All],16,FALSE),0)</f>
        <v>0</v>
      </c>
      <c r="CA106" s="25">
        <f>IF(Table1[[#This Row],[Adjusted_ULife_HP]]=13,VLOOKUP(Table1[[#This Row],[Item_Handpump]],[1]!Table2[#All],16,FALSE),0)</f>
        <v>0</v>
      </c>
      <c r="CB106" s="25">
        <f>IF(Table1[[#This Row],[Adjusted_ULife_PF]]=13,VLOOKUP(Table1[[#This Row],[Item_Platform]],[1]!Table2[#All],16,FALSE),0)</f>
        <v>0</v>
      </c>
      <c r="CC106" s="25">
        <f>SUM(Table1[[#This Row],[yr 13_wl]:[yr 13_pf]])</f>
        <v>0</v>
      </c>
      <c r="CD106" s="12"/>
    </row>
    <row r="107" spans="1:82" s="11" customFormat="1" x14ac:dyDescent="0.25">
      <c r="A107" s="11" t="str">
        <f>IF([1]Input_monitoring_data!A103="","",[1]Input_monitoring_data!A103)</f>
        <v>hyjp-ug9h-y5s3</v>
      </c>
      <c r="B107" s="22" t="str">
        <f>[1]Input_monitoring_data!BH103</f>
        <v>Ntotroso</v>
      </c>
      <c r="C107" s="22" t="str">
        <f>[1]Input_monitoring_data!BI103</f>
        <v>Nweneso</v>
      </c>
      <c r="D107" s="22" t="str">
        <f>[1]Input_monitoring_data!P103</f>
        <v>7.0770761449461155</v>
      </c>
      <c r="E107" s="22" t="str">
        <f>[1]Input_monitoring_data!Q103</f>
        <v>-2.424812614936751</v>
      </c>
      <c r="F107" s="22" t="str">
        <f>[1]Input_monitoring_data!V103</f>
        <v>Near Nyantekyi's House</v>
      </c>
      <c r="G107" s="23" t="str">
        <f>[1]Input_monitoring_data!U103</f>
        <v>Borehole</v>
      </c>
      <c r="H107" s="22">
        <f>[1]Input_monitoring_data!X103</f>
        <v>2004</v>
      </c>
      <c r="I107" s="21" t="str">
        <f>[1]Input_monitoring_data!AB103</f>
        <v>Borehole redevelopment</v>
      </c>
      <c r="J107" s="21">
        <f>[1]Input_monitoring_data!AC103</f>
        <v>0</v>
      </c>
      <c r="K107" s="23" t="str">
        <f>[1]Input_monitoring_data!W103</f>
        <v>AfriDev</v>
      </c>
      <c r="L107" s="22">
        <f>[1]Input_monitoring_data!X103</f>
        <v>2004</v>
      </c>
      <c r="M107" s="21" t="str">
        <f>IF([1]Input_monitoring_data!BL103&gt;'Point Sources_Asset_Register_'!L107,[1]Input_monitoring_data!BL103,"")</f>
        <v/>
      </c>
      <c r="N107" s="22" t="str">
        <f>[1]Input_monitoring_data!BQ103</f>
        <v>functional</v>
      </c>
      <c r="O107" s="22">
        <f>[1]Input_monitoring_data!AJ103</f>
        <v>0</v>
      </c>
      <c r="P107" s="23" t="s">
        <v>0</v>
      </c>
      <c r="Q107" s="22">
        <f>L107</f>
        <v>2004</v>
      </c>
      <c r="R107" s="21" t="str">
        <f>M107</f>
        <v/>
      </c>
      <c r="S107" s="20">
        <f>[1]Input_EUL_CRC_ERC!$B$17-Table1[[#This Row],[Year Installed_WL]]</f>
        <v>13</v>
      </c>
      <c r="T107" s="20">
        <f>[1]Input_EUL_CRC_ERC!$B$17-(IF(Table1[[#This Row],[Year Last_Rehab_WL ]]=0,Table1[[#This Row],[Year Installed_WL]],[1]Input_EUL_CRC_ERC!$B$17-Table1[[#This Row],[Year Last_Rehab_WL ]]))</f>
        <v>13</v>
      </c>
      <c r="U107" s="20">
        <f>(VLOOKUP(Table1[[#This Row],[Item_Rehab_WL]],[1]Input_EUL_CRC_ERC!$C$17:$E$27,2,FALSE)-Table1[[#This Row],[Last Rehab Age]])</f>
        <v>2</v>
      </c>
      <c r="V107" s="19">
        <f>[1]Input_EUL_CRC_ERC!$B$17-Table1[[#This Row],[Year Installed_HP]]</f>
        <v>13</v>
      </c>
      <c r="W107" s="19">
        <f>(VLOOKUP(Table1[[#This Row],[Item_Handpump]],[1]!Table2[#All],2,FALSE))-(IF(Table1[[#This Row],[Year Last_Rehab_HP]]="",Table1[[#This Row],[Current Age_Handpump]],[1]Input_EUL_CRC_ERC!$B$17-Table1[[#This Row],[Year Last_Rehab_HP]]))</f>
        <v>7</v>
      </c>
      <c r="X107" s="19">
        <f>[1]Input_EUL_CRC_ERC!$B$17-Table1[[#This Row],[Year Installed_PF]]</f>
        <v>13</v>
      </c>
      <c r="Y107" s="19">
        <f>(VLOOKUP(Table1[[#This Row],[Item_Platform]],[1]!Table2[#All],2,FALSE))-(IF(Table1[[#This Row],[Year Last_Rehab_PF]]="",Table1[[#This Row],[Current Age_Platform]],[1]Input_EUL_CRC_ERC!$B$17-Table1[[#This Row],[Year Last_Rehab_PF]]))</f>
        <v>-3</v>
      </c>
      <c r="Z107" s="25">
        <f>IF(Table1[[#This Row],[Years_Next_Rehab_Well]]&lt;=0,VLOOKUP(Table1[[#This Row],[Item_Rehab_WL]],[1]!Table2[#All],3,FALSE),0)</f>
        <v>0</v>
      </c>
      <c r="AA107" s="18">
        <f>IF(Table1[[#This Row],[Adjusted_ULife_HP]]&lt;=0,VLOOKUP(Table1[[#This Row],[Item_Handpump]],[1]!Table2[#All],3,FALSE),0)</f>
        <v>0</v>
      </c>
      <c r="AB107" s="18">
        <f>IF(Table1[[#This Row],[Adjusted_ULife_PF]]&lt;=0,VLOOKUP(Table1[[#This Row],[Item_Platform]],[1]!Table2[#All],3,FALSE),0)</f>
        <v>1500</v>
      </c>
      <c r="AC107" s="18">
        <f>SUM(Table1[[#This Row],[current yr_wl]:[current yr_pf]])</f>
        <v>1500</v>
      </c>
      <c r="AD107" s="25">
        <f>IF(Table1[[#This Row],[Years_Next_Rehab_Well]]=1,VLOOKUP(Table1[[#This Row],[Item_Rehab_WL]],[1]!Table2[#All],4,FALSE),0)</f>
        <v>0</v>
      </c>
      <c r="AE107" s="25">
        <f>IF(Table1[[#This Row],[Adjusted_ULife_HP]]=1,VLOOKUP(Table1[[#This Row],[Item_Handpump]],[1]!Table2[#All],4,FALSE),0)</f>
        <v>0</v>
      </c>
      <c r="AF107" s="25">
        <f>IF(Table1[[#This Row],[Adjusted_ULife_PF]]=1,VLOOKUP(Table1[[#This Row],[Item_Platform]],[1]!Table2[#All],4,FALSE),0)</f>
        <v>0</v>
      </c>
      <c r="AG107" s="25">
        <f>SUM(Table1[[#This Row],[yr 1_wl]:[yr 1_pf]])</f>
        <v>0</v>
      </c>
      <c r="AH107" s="25">
        <f>IF(Table1[[#This Row],[Years_Next_Rehab_Well]]=2,VLOOKUP(Table1[[#This Row],[Item_Rehab_WL]],[1]!Table2[#All],5,FALSE),0)</f>
        <v>4599.4666666666672</v>
      </c>
      <c r="AI107" s="25">
        <f>IF(Table1[[#This Row],[Adjusted_ULife_HP]]=2,VLOOKUP(Table1[[#This Row],[Item_Handpump]],[1]!Table2[#All],5,FALSE),0)</f>
        <v>0</v>
      </c>
      <c r="AJ107" s="25">
        <f>IF(Table1[[#This Row],[Adjusted_ULife_PF]]=2,VLOOKUP(Table1[[#This Row],[Item_Platform]],[1]!Table2[#All],5,FALSE),0)</f>
        <v>0</v>
      </c>
      <c r="AK107" s="25">
        <f>SUM(Table1[[#This Row],[yr 2_wl]:[yr 2_pf]])</f>
        <v>4599.4666666666672</v>
      </c>
      <c r="AL107" s="25">
        <f>IF(Table1[[#This Row],[Years_Next_Rehab_Well]]=3,VLOOKUP(Table1[[#This Row],[Item_Rehab_WL]],[1]!Table2[#All],6,FALSE),0)</f>
        <v>0</v>
      </c>
      <c r="AM107" s="25">
        <f>IF(Table1[[#This Row],[Adjusted_ULife_HP]]=3,VLOOKUP(Table1[[#This Row],[Item_Handpump]],[1]!Table2[#All],6,FALSE),0)</f>
        <v>0</v>
      </c>
      <c r="AN107" s="25">
        <f>IF(Table1[[#This Row],[Adjusted_ULife_PF]]=3,VLOOKUP(Table1[[#This Row],[Item_Platform]],[1]!Table2[#All],6,FALSE),0)</f>
        <v>0</v>
      </c>
      <c r="AO107" s="25">
        <f>SUM(Table1[[#This Row],[yr 3_wl]:[yr 3_pf]])</f>
        <v>0</v>
      </c>
      <c r="AP107" s="25">
        <f>IF(Table1[[#This Row],[Years_Next_Rehab_Well]]=4,VLOOKUP(Table1[[#This Row],[Item_Rehab_WL]],[1]!Table2[#All],7,FALSE),0)</f>
        <v>0</v>
      </c>
      <c r="AQ107" s="25">
        <f>IF(Table1[[#This Row],[Adjusted_ULife_HP]]=4,VLOOKUP(Table1[[#This Row],[Item_Handpump]],[1]!Table2[#All],7,FALSE),0)</f>
        <v>0</v>
      </c>
      <c r="AR107" s="25">
        <f>IF(Table1[[#This Row],[Adjusted_ULife_PF]]=4,VLOOKUP(Table1[[#This Row],[Item_Platform]],[1]!Table2[#All],7,FALSE),0)</f>
        <v>0</v>
      </c>
      <c r="AS107" s="25">
        <f>SUM(Table1[[#This Row],[yr 4_wl]:[yr 4_pf]])</f>
        <v>0</v>
      </c>
      <c r="AT107" s="25">
        <f>IF(Table1[[#This Row],[Years_Next_Rehab_Well]]=5,VLOOKUP(Table1[[#This Row],[Item_Rehab_WL]],[1]!Table2[#All],8,FALSE),0)</f>
        <v>0</v>
      </c>
      <c r="AU107" s="25">
        <f>IF(Table1[[#This Row],[Adjusted_ULife_HP]]=5,VLOOKUP(Table1[[#This Row],[Item_Handpump]],[1]!Table2[#All],8,FALSE),0)</f>
        <v>0</v>
      </c>
      <c r="AV107" s="25">
        <f>IF(Table1[[#This Row],[Adjusted_ULife_PF]]=5,VLOOKUP(Table1[[#This Row],[Item_Platform]],[1]!Table2[#All],8,FALSE),0)</f>
        <v>0</v>
      </c>
      <c r="AW107" s="25">
        <f>SUM(Table1[[#This Row],[yr 5_wl]:[yr 5_pf]])</f>
        <v>0</v>
      </c>
      <c r="AX107" s="25">
        <f>IF(Table1[[#This Row],[Years_Next_Rehab_Well]]=6,VLOOKUP(Table1[[#This Row],[Item_Rehab_WL]],[1]!Table2[#All],9,FALSE),0)</f>
        <v>0</v>
      </c>
      <c r="AY107" s="25">
        <f>IF(Table1[[#This Row],[Adjusted_ULife_HP]]=6,VLOOKUP(Table1[[#This Row],[Item_Handpump]],[1]!Table2[#All],9,FALSE),0)</f>
        <v>0</v>
      </c>
      <c r="AZ107" s="25">
        <f>IF(Table1[[#This Row],[Adjusted_ULife_PF]]=6,VLOOKUP(Table1[[#This Row],[Item_Platform]],[1]!Table2[#All],9,FALSE),0)</f>
        <v>0</v>
      </c>
      <c r="BA107" s="25">
        <f>SUM(Table1[[#This Row],[yr 6_wl]:[yr 6_pf]])</f>
        <v>0</v>
      </c>
      <c r="BB107" s="25">
        <f>IF(Table1[[#This Row],[Years_Next_Rehab_Well]]=7,VLOOKUP(Table1[[#This Row],[Item_Rehab_WL]],[1]!Table2[#All],10,FALSE),0)</f>
        <v>0</v>
      </c>
      <c r="BC107" s="25">
        <f>IF(Table1[[#This Row],[Adjusted_ULife_HP]]=7,VLOOKUP(Table1[[#This Row],[Item_Handpump]],[1]!Table2[#All],10,FALSE),0)</f>
        <v>884.2725629624324</v>
      </c>
      <c r="BD107" s="25">
        <f>IF(Table1[[#This Row],[Adjusted_ULife_PF]]=7,VLOOKUP(Table1[[#This Row],[Item_Platform]],[1]!Table2[#All],10,FALSE),0)</f>
        <v>0</v>
      </c>
      <c r="BE107" s="25">
        <f>SUM(Table1[[#This Row],[yr 7_wl]:[yr 7_pf]])</f>
        <v>884.2725629624324</v>
      </c>
      <c r="BF107" s="25">
        <f>IF(Table1[[#This Row],[Years_Next_Rehab_Well]]=8,VLOOKUP(Table1[[#This Row],[Item_Rehab_WL]],[1]!Table2[#All],11,FALSE),0)</f>
        <v>0</v>
      </c>
      <c r="BG107" s="25">
        <f>IF(Table1[[#This Row],[Adjusted_ULife_HP]]=8,VLOOKUP(Table1[[#This Row],[Item_Handpump]],[1]!Table2[#All],11,FALSE),0)</f>
        <v>0</v>
      </c>
      <c r="BH107" s="25">
        <f>IF(Table1[[#This Row],[Adjusted_ULife_PF]]=8,VLOOKUP(Table1[[#This Row],[Item_Platform]],[1]!Table2[#All],11,FALSE),0)</f>
        <v>0</v>
      </c>
      <c r="BI107" s="25">
        <f>SUM(Table1[[#This Row],[yr 8_wl]:[yr 8_pf]])</f>
        <v>0</v>
      </c>
      <c r="BJ107" s="25">
        <f>IF(Table1[[#This Row],[Years_Next_Rehab_Well]]=9,VLOOKUP(Table1[[#This Row],[Item_Rehab_WL]],[1]!Table2[#All],12,FALSE),0)</f>
        <v>0</v>
      </c>
      <c r="BK107" s="25">
        <f>IF(Table1[[#This Row],[Adjusted_ULife_HP]]=9,VLOOKUP(Table1[[#This Row],[Item_Handpump]],[1]!Table2[#All],12,FALSE),0)</f>
        <v>0</v>
      </c>
      <c r="BL107" s="25">
        <f>IF(Table1[[#This Row],[Adjusted_ULife_PF]]=9,VLOOKUP(Table1[[#This Row],[Item_Platform]],[1]!Table2[#All],12,FALSE),0)</f>
        <v>0</v>
      </c>
      <c r="BM107" s="25">
        <f>SUM(Table1[[#This Row],[yr 9_wl]:[yr 9_pf]])</f>
        <v>0</v>
      </c>
      <c r="BN107" s="25">
        <f>IF(Table1[[#This Row],[Years_Next_Rehab_Well]]=10,VLOOKUP(Table1[[#This Row],[Item_Rehab_WL]],[1]!Table2[#All],13,FALSE),0)</f>
        <v>0</v>
      </c>
      <c r="BO107" s="25">
        <f>IF(Table1[[#This Row],[Adjusted_ULife_HP]]=10,VLOOKUP(Table1[[#This Row],[Item_Handpump]],[1]!Table2[#All],13,FALSE),0)</f>
        <v>0</v>
      </c>
      <c r="BP107" s="25">
        <f>IF(Table1[[#This Row],[Adjusted_ULife_PF]]=10,VLOOKUP(Table1[[#This Row],[Item_Platform]],[1]!Table2[#All],13,FALSE),0)</f>
        <v>0</v>
      </c>
      <c r="BQ107" s="25">
        <f>SUM(Table1[[#This Row],[yr 10_wl]:[yr 10_pf]])</f>
        <v>0</v>
      </c>
      <c r="BR107" s="25">
        <f>IF(Table1[[#This Row],[Years_Next_Rehab_Well]]=11,VLOOKUP(Table1[[#This Row],[Item_Rehab_WL]],[1]!Table2[#All],14,FALSE),0)</f>
        <v>0</v>
      </c>
      <c r="BS107" s="25">
        <f>IF(Table1[[#This Row],[Adjusted_ULife_HP]]=11,VLOOKUP(Table1[[#This Row],[Item_Handpump]],[1]!Table2[#All],14,FALSE),0)</f>
        <v>0</v>
      </c>
      <c r="BT107" s="25">
        <f>IF(Table1[[#This Row],[Adjusted_ULife_PF]]=11,VLOOKUP(Table1[[#This Row],[Item_Platform]],[1]!Table2[#All],14,FALSE),0)</f>
        <v>0</v>
      </c>
      <c r="BU107" s="25">
        <f>SUM(Table1[[#This Row],[yr 11_wl]:[yr 11_pf]])</f>
        <v>0</v>
      </c>
      <c r="BV107" s="25">
        <f>IF(Table1[[#This Row],[Years_Next_Rehab_Well]]=12,VLOOKUP(Table1[[#This Row],[Item_Rehab_WL]],[1]!Table2[#All],15,FALSE),0)</f>
        <v>0</v>
      </c>
      <c r="BW107" s="25">
        <f>IF(Table1[[#This Row],[Adjusted_ULife_HP]]=12,VLOOKUP(Table1[[#This Row],[Item_Handpump]],[1]!Table2[#All],15,FALSE),0)</f>
        <v>0</v>
      </c>
      <c r="BX107" s="25">
        <f>IF(Table1[[#This Row],[Adjusted_ULife_PF]]=12,VLOOKUP(Table1[[#This Row],[Item_Platform]],[1]!Table2[#All],15,FALSE),0)</f>
        <v>0</v>
      </c>
      <c r="BY107" s="25">
        <f>SUM(Table1[[#This Row],[yr 12_wl]:[yr 12_pf]])</f>
        <v>0</v>
      </c>
      <c r="BZ107" s="25">
        <f>IF(Table1[[#This Row],[Years_Next_Rehab_Well]]=13,VLOOKUP(Table1[[#This Row],[Item_Rehab_WL]],[1]!Table2[#All],16,FALSE),0)</f>
        <v>0</v>
      </c>
      <c r="CA107" s="25">
        <f>IF(Table1[[#This Row],[Adjusted_ULife_HP]]=13,VLOOKUP(Table1[[#This Row],[Item_Handpump]],[1]!Table2[#All],16,FALSE),0)</f>
        <v>0</v>
      </c>
      <c r="CB107" s="25">
        <f>IF(Table1[[#This Row],[Adjusted_ULife_PF]]=13,VLOOKUP(Table1[[#This Row],[Item_Platform]],[1]!Table2[#All],16,FALSE),0)</f>
        <v>0</v>
      </c>
      <c r="CC107" s="25">
        <f>SUM(Table1[[#This Row],[yr 13_wl]:[yr 13_pf]])</f>
        <v>0</v>
      </c>
      <c r="CD107" s="12"/>
    </row>
    <row r="108" spans="1:82" s="11" customFormat="1" x14ac:dyDescent="0.25">
      <c r="A108" s="11" t="str">
        <f>IF([1]Input_monitoring_data!A104="","",[1]Input_monitoring_data!A104)</f>
        <v>j0tb-qsgq-89ph</v>
      </c>
      <c r="B108" s="22" t="str">
        <f>[1]Input_monitoring_data!BH104</f>
        <v>GAMBIA</v>
      </c>
      <c r="C108" s="22" t="str">
        <f>[1]Input_monitoring_data!BI104</f>
        <v>GAMBIA NO.2</v>
      </c>
      <c r="D108" s="22" t="str">
        <f>[1]Input_monitoring_data!P104</f>
        <v>7.05689235</v>
      </c>
      <c r="E108" s="22" t="str">
        <f>[1]Input_monitoring_data!Q104</f>
        <v>-2.65168584</v>
      </c>
      <c r="F108" s="22" t="str">
        <f>[1]Input_monitoring_data!V104</f>
        <v>Opposite Mr Alhassan's house</v>
      </c>
      <c r="G108" s="23" t="str">
        <f>[1]Input_monitoring_data!U104</f>
        <v>Borehole</v>
      </c>
      <c r="H108" s="22">
        <f>[1]Input_monitoring_data!X104</f>
        <v>2014</v>
      </c>
      <c r="I108" s="21" t="str">
        <f>[1]Input_monitoring_data!AB104</f>
        <v>Borehole redevelopment</v>
      </c>
      <c r="J108" s="21">
        <f>[1]Input_monitoring_data!AC104</f>
        <v>0</v>
      </c>
      <c r="K108" s="23" t="str">
        <f>[1]Input_monitoring_data!W104</f>
        <v>AfriDev</v>
      </c>
      <c r="L108" s="22">
        <f>[1]Input_monitoring_data!X104</f>
        <v>2014</v>
      </c>
      <c r="M108" s="21" t="str">
        <f>IF([1]Input_monitoring_data!BL104&gt;'Point Sources_Asset_Register_'!L108,[1]Input_monitoring_data!BL104,"")</f>
        <v/>
      </c>
      <c r="N108" s="22" t="str">
        <f>[1]Input_monitoring_data!BQ104</f>
        <v>functional</v>
      </c>
      <c r="O108" s="22">
        <f>[1]Input_monitoring_data!AJ104</f>
        <v>0</v>
      </c>
      <c r="P108" s="23" t="s">
        <v>0</v>
      </c>
      <c r="Q108" s="22">
        <f>L108</f>
        <v>2014</v>
      </c>
      <c r="R108" s="21" t="str">
        <f>M108</f>
        <v/>
      </c>
      <c r="S108" s="20">
        <f>[1]Input_EUL_CRC_ERC!$B$17-Table1[[#This Row],[Year Installed_WL]]</f>
        <v>3</v>
      </c>
      <c r="T108" s="20">
        <f>[1]Input_EUL_CRC_ERC!$B$17-(IF(Table1[[#This Row],[Year Last_Rehab_WL ]]=0,Table1[[#This Row],[Year Installed_WL]],[1]Input_EUL_CRC_ERC!$B$17-Table1[[#This Row],[Year Last_Rehab_WL ]]))</f>
        <v>3</v>
      </c>
      <c r="U108" s="20">
        <f>(VLOOKUP(Table1[[#This Row],[Item_Rehab_WL]],[1]Input_EUL_CRC_ERC!$C$17:$E$27,2,FALSE)-Table1[[#This Row],[Last Rehab Age]])</f>
        <v>12</v>
      </c>
      <c r="V108" s="19">
        <f>[1]Input_EUL_CRC_ERC!$B$17-Table1[[#This Row],[Year Installed_HP]]</f>
        <v>3</v>
      </c>
      <c r="W108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08" s="19">
        <f>[1]Input_EUL_CRC_ERC!$B$17-Table1[[#This Row],[Year Installed_PF]]</f>
        <v>3</v>
      </c>
      <c r="Y108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08" s="25">
        <f>IF(Table1[[#This Row],[Years_Next_Rehab_Well]]&lt;=0,VLOOKUP(Table1[[#This Row],[Item_Rehab_WL]],[1]!Table2[#All],3,FALSE),0)</f>
        <v>0</v>
      </c>
      <c r="AA108" s="18">
        <f>IF(Table1[[#This Row],[Adjusted_ULife_HP]]&lt;=0,VLOOKUP(Table1[[#This Row],[Item_Handpump]],[1]!Table2[#All],3,FALSE),0)</f>
        <v>0</v>
      </c>
      <c r="AB108" s="18">
        <f>IF(Table1[[#This Row],[Adjusted_ULife_PF]]&lt;=0,VLOOKUP(Table1[[#This Row],[Item_Platform]],[1]!Table2[#All],3,FALSE),0)</f>
        <v>0</v>
      </c>
      <c r="AC108" s="18">
        <f>SUM(Table1[[#This Row],[current yr_wl]:[current yr_pf]])</f>
        <v>0</v>
      </c>
      <c r="AD108" s="25">
        <f>IF(Table1[[#This Row],[Years_Next_Rehab_Well]]=1,VLOOKUP(Table1[[#This Row],[Item_Rehab_WL]],[1]!Table2[#All],4,FALSE),0)</f>
        <v>0</v>
      </c>
      <c r="AE108" s="25">
        <f>IF(Table1[[#This Row],[Adjusted_ULife_HP]]=1,VLOOKUP(Table1[[#This Row],[Item_Handpump]],[1]!Table2[#All],4,FALSE),0)</f>
        <v>0</v>
      </c>
      <c r="AF108" s="25">
        <f>IF(Table1[[#This Row],[Adjusted_ULife_PF]]=1,VLOOKUP(Table1[[#This Row],[Item_Platform]],[1]!Table2[#All],4,FALSE),0)</f>
        <v>0</v>
      </c>
      <c r="AG108" s="25">
        <f>SUM(Table1[[#This Row],[yr 1_wl]:[yr 1_pf]])</f>
        <v>0</v>
      </c>
      <c r="AH108" s="25">
        <f>IF(Table1[[#This Row],[Years_Next_Rehab_Well]]=2,VLOOKUP(Table1[[#This Row],[Item_Rehab_WL]],[1]!Table2[#All],5,FALSE),0)</f>
        <v>0</v>
      </c>
      <c r="AI108" s="25">
        <f>IF(Table1[[#This Row],[Adjusted_ULife_HP]]=2,VLOOKUP(Table1[[#This Row],[Item_Handpump]],[1]!Table2[#All],5,FALSE),0)</f>
        <v>0</v>
      </c>
      <c r="AJ108" s="25">
        <f>IF(Table1[[#This Row],[Adjusted_ULife_PF]]=2,VLOOKUP(Table1[[#This Row],[Item_Platform]],[1]!Table2[#All],5,FALSE),0)</f>
        <v>0</v>
      </c>
      <c r="AK108" s="25">
        <f>SUM(Table1[[#This Row],[yr 2_wl]:[yr 2_pf]])</f>
        <v>0</v>
      </c>
      <c r="AL108" s="25">
        <f>IF(Table1[[#This Row],[Years_Next_Rehab_Well]]=3,VLOOKUP(Table1[[#This Row],[Item_Rehab_WL]],[1]!Table2[#All],6,FALSE),0)</f>
        <v>0</v>
      </c>
      <c r="AM108" s="25">
        <f>IF(Table1[[#This Row],[Adjusted_ULife_HP]]=3,VLOOKUP(Table1[[#This Row],[Item_Handpump]],[1]!Table2[#All],6,FALSE),0)</f>
        <v>0</v>
      </c>
      <c r="AN108" s="25">
        <f>IF(Table1[[#This Row],[Adjusted_ULife_PF]]=3,VLOOKUP(Table1[[#This Row],[Item_Platform]],[1]!Table2[#All],6,FALSE),0)</f>
        <v>0</v>
      </c>
      <c r="AO108" s="25">
        <f>SUM(Table1[[#This Row],[yr 3_wl]:[yr 3_pf]])</f>
        <v>0</v>
      </c>
      <c r="AP108" s="25">
        <f>IF(Table1[[#This Row],[Years_Next_Rehab_Well]]=4,VLOOKUP(Table1[[#This Row],[Item_Rehab_WL]],[1]!Table2[#All],7,FALSE),0)</f>
        <v>0</v>
      </c>
      <c r="AQ108" s="25">
        <f>IF(Table1[[#This Row],[Adjusted_ULife_HP]]=4,VLOOKUP(Table1[[#This Row],[Item_Handpump]],[1]!Table2[#All],7,FALSE),0)</f>
        <v>0</v>
      </c>
      <c r="AR108" s="25">
        <f>IF(Table1[[#This Row],[Adjusted_ULife_PF]]=4,VLOOKUP(Table1[[#This Row],[Item_Platform]],[1]!Table2[#All],7,FALSE),0)</f>
        <v>0</v>
      </c>
      <c r="AS108" s="25">
        <f>SUM(Table1[[#This Row],[yr 4_wl]:[yr 4_pf]])</f>
        <v>0</v>
      </c>
      <c r="AT108" s="25">
        <f>IF(Table1[[#This Row],[Years_Next_Rehab_Well]]=5,VLOOKUP(Table1[[#This Row],[Item_Rehab_WL]],[1]!Table2[#All],8,FALSE),0)</f>
        <v>0</v>
      </c>
      <c r="AU108" s="25">
        <f>IF(Table1[[#This Row],[Adjusted_ULife_HP]]=5,VLOOKUP(Table1[[#This Row],[Item_Handpump]],[1]!Table2[#All],8,FALSE),0)</f>
        <v>0</v>
      </c>
      <c r="AV108" s="25">
        <f>IF(Table1[[#This Row],[Adjusted_ULife_PF]]=5,VLOOKUP(Table1[[#This Row],[Item_Platform]],[1]!Table2[#All],8,FALSE),0)</f>
        <v>0</v>
      </c>
      <c r="AW108" s="25">
        <f>SUM(Table1[[#This Row],[yr 5_wl]:[yr 5_pf]])</f>
        <v>0</v>
      </c>
      <c r="AX108" s="25">
        <f>IF(Table1[[#This Row],[Years_Next_Rehab_Well]]=6,VLOOKUP(Table1[[#This Row],[Item_Rehab_WL]],[1]!Table2[#All],9,FALSE),0)</f>
        <v>0</v>
      </c>
      <c r="AY108" s="25">
        <f>IF(Table1[[#This Row],[Adjusted_ULife_HP]]=6,VLOOKUP(Table1[[#This Row],[Item_Handpump]],[1]!Table2[#All],9,FALSE),0)</f>
        <v>0</v>
      </c>
      <c r="AZ108" s="25">
        <f>IF(Table1[[#This Row],[Adjusted_ULife_PF]]=6,VLOOKUP(Table1[[#This Row],[Item_Platform]],[1]!Table2[#All],9,FALSE),0)</f>
        <v>0</v>
      </c>
      <c r="BA108" s="25">
        <f>SUM(Table1[[#This Row],[yr 6_wl]:[yr 6_pf]])</f>
        <v>0</v>
      </c>
      <c r="BB108" s="25">
        <f>IF(Table1[[#This Row],[Years_Next_Rehab_Well]]=7,VLOOKUP(Table1[[#This Row],[Item_Rehab_WL]],[1]!Table2[#All],10,FALSE),0)</f>
        <v>0</v>
      </c>
      <c r="BC108" s="25">
        <f>IF(Table1[[#This Row],[Adjusted_ULife_HP]]=7,VLOOKUP(Table1[[#This Row],[Item_Handpump]],[1]!Table2[#All],10,FALSE),0)</f>
        <v>0</v>
      </c>
      <c r="BD108" s="25">
        <f>IF(Table1[[#This Row],[Adjusted_ULife_PF]]=7,VLOOKUP(Table1[[#This Row],[Item_Platform]],[1]!Table2[#All],10,FALSE),0)</f>
        <v>3316.0221111091228</v>
      </c>
      <c r="BE108" s="25">
        <f>SUM(Table1[[#This Row],[yr 7_wl]:[yr 7_pf]])</f>
        <v>3316.0221111091228</v>
      </c>
      <c r="BF108" s="25">
        <f>IF(Table1[[#This Row],[Years_Next_Rehab_Well]]=8,VLOOKUP(Table1[[#This Row],[Item_Rehab_WL]],[1]!Table2[#All],11,FALSE),0)</f>
        <v>0</v>
      </c>
      <c r="BG108" s="25">
        <f>IF(Table1[[#This Row],[Adjusted_ULife_HP]]=8,VLOOKUP(Table1[[#This Row],[Item_Handpump]],[1]!Table2[#All],11,FALSE),0)</f>
        <v>0</v>
      </c>
      <c r="BH108" s="25">
        <f>IF(Table1[[#This Row],[Adjusted_ULife_PF]]=8,VLOOKUP(Table1[[#This Row],[Item_Platform]],[1]!Table2[#All],11,FALSE),0)</f>
        <v>0</v>
      </c>
      <c r="BI108" s="25">
        <f>SUM(Table1[[#This Row],[yr 8_wl]:[yr 8_pf]])</f>
        <v>0</v>
      </c>
      <c r="BJ108" s="25">
        <f>IF(Table1[[#This Row],[Years_Next_Rehab_Well]]=9,VLOOKUP(Table1[[#This Row],[Item_Rehab_WL]],[1]!Table2[#All],12,FALSE),0)</f>
        <v>0</v>
      </c>
      <c r="BK108" s="25">
        <f>IF(Table1[[#This Row],[Adjusted_ULife_HP]]=9,VLOOKUP(Table1[[#This Row],[Item_Handpump]],[1]!Table2[#All],12,FALSE),0)</f>
        <v>0</v>
      </c>
      <c r="BL108" s="25">
        <f>IF(Table1[[#This Row],[Adjusted_ULife_PF]]=9,VLOOKUP(Table1[[#This Row],[Item_Platform]],[1]!Table2[#All],12,FALSE),0)</f>
        <v>0</v>
      </c>
      <c r="BM108" s="25">
        <f>SUM(Table1[[#This Row],[yr 9_wl]:[yr 9_pf]])</f>
        <v>0</v>
      </c>
      <c r="BN108" s="25">
        <f>IF(Table1[[#This Row],[Years_Next_Rehab_Well]]=10,VLOOKUP(Table1[[#This Row],[Item_Rehab_WL]],[1]!Table2[#All],13,FALSE),0)</f>
        <v>0</v>
      </c>
      <c r="BO108" s="25">
        <f>IF(Table1[[#This Row],[Adjusted_ULife_HP]]=10,VLOOKUP(Table1[[#This Row],[Item_Handpump]],[1]!Table2[#All],13,FALSE),0)</f>
        <v>0</v>
      </c>
      <c r="BP108" s="25">
        <f>IF(Table1[[#This Row],[Adjusted_ULife_PF]]=10,VLOOKUP(Table1[[#This Row],[Item_Platform]],[1]!Table2[#All],13,FALSE),0)</f>
        <v>0</v>
      </c>
      <c r="BQ108" s="25">
        <f>SUM(Table1[[#This Row],[yr 10_wl]:[yr 10_pf]])</f>
        <v>0</v>
      </c>
      <c r="BR108" s="25">
        <f>IF(Table1[[#This Row],[Years_Next_Rehab_Well]]=11,VLOOKUP(Table1[[#This Row],[Item_Rehab_WL]],[1]!Table2[#All],14,FALSE),0)</f>
        <v>0</v>
      </c>
      <c r="BS108" s="25">
        <f>IF(Table1[[#This Row],[Adjusted_ULife_HP]]=11,VLOOKUP(Table1[[#This Row],[Item_Handpump]],[1]!Table2[#All],14,FALSE),0)</f>
        <v>0</v>
      </c>
      <c r="BT108" s="25">
        <f>IF(Table1[[#This Row],[Adjusted_ULife_PF]]=11,VLOOKUP(Table1[[#This Row],[Item_Platform]],[1]!Table2[#All],14,FALSE),0)</f>
        <v>0</v>
      </c>
      <c r="BU108" s="25">
        <f>SUM(Table1[[#This Row],[yr 11_wl]:[yr 11_pf]])</f>
        <v>0</v>
      </c>
      <c r="BV108" s="25">
        <f>IF(Table1[[#This Row],[Years_Next_Rehab_Well]]=12,VLOOKUP(Table1[[#This Row],[Item_Rehab_WL]],[1]!Table2[#All],15,FALSE),0)</f>
        <v>14285.245306005596</v>
      </c>
      <c r="BW108" s="25">
        <f>IF(Table1[[#This Row],[Adjusted_ULife_HP]]=12,VLOOKUP(Table1[[#This Row],[Item_Handpump]],[1]!Table2[#All],15,FALSE),0)</f>
        <v>0</v>
      </c>
      <c r="BX108" s="25">
        <f>IF(Table1[[#This Row],[Adjusted_ULife_PF]]=12,VLOOKUP(Table1[[#This Row],[Item_Platform]],[1]!Table2[#All],15,FALSE),0)</f>
        <v>0</v>
      </c>
      <c r="BY108" s="25">
        <f>SUM(Table1[[#This Row],[yr 12_wl]:[yr 12_pf]])</f>
        <v>14285.245306005596</v>
      </c>
      <c r="BZ108" s="25">
        <f>IF(Table1[[#This Row],[Years_Next_Rehab_Well]]=13,VLOOKUP(Table1[[#This Row],[Item_Rehab_WL]],[1]!Table2[#All],16,FALSE),0)</f>
        <v>0</v>
      </c>
      <c r="CA108" s="25">
        <f>IF(Table1[[#This Row],[Adjusted_ULife_HP]]=13,VLOOKUP(Table1[[#This Row],[Item_Handpump]],[1]!Table2[#All],16,FALSE),0)</f>
        <v>0</v>
      </c>
      <c r="CB108" s="25">
        <f>IF(Table1[[#This Row],[Adjusted_ULife_PF]]=13,VLOOKUP(Table1[[#This Row],[Item_Platform]],[1]!Table2[#All],16,FALSE),0)</f>
        <v>0</v>
      </c>
      <c r="CC108" s="25">
        <f>SUM(Table1[[#This Row],[yr 13_wl]:[yr 13_pf]])</f>
        <v>0</v>
      </c>
      <c r="CD108" s="12"/>
    </row>
    <row r="109" spans="1:82" s="11" customFormat="1" x14ac:dyDescent="0.25">
      <c r="A109" s="11" t="str">
        <f>IF([1]Input_monitoring_data!A105="","",[1]Input_monitoring_data!A105)</f>
        <v>j3r1-0d24-n6bp</v>
      </c>
      <c r="B109" s="22" t="str">
        <f>[1]Input_monitoring_data!BH105</f>
        <v>Goamu</v>
      </c>
      <c r="C109" s="22" t="str">
        <f>[1]Input_monitoring_data!BI105</f>
        <v>Kwakurikrom</v>
      </c>
      <c r="D109" s="22" t="str">
        <f>[1]Input_monitoring_data!P105</f>
        <v>7.037138898849389</v>
      </c>
      <c r="E109" s="22" t="str">
        <f>[1]Input_monitoring_data!Q105</f>
        <v>-2.4336445205134414</v>
      </c>
      <c r="F109" s="22" t="str">
        <f>[1]Input_monitoring_data!V105</f>
        <v>Nana Kontor Cocoa Farme</v>
      </c>
      <c r="G109" s="23" t="str">
        <f>[1]Input_monitoring_data!U105</f>
        <v>Borehole</v>
      </c>
      <c r="H109" s="22">
        <f>[1]Input_monitoring_data!X105</f>
        <v>2005</v>
      </c>
      <c r="I109" s="21" t="str">
        <f>[1]Input_monitoring_data!AB105</f>
        <v>Borehole redevelopment</v>
      </c>
      <c r="J109" s="21">
        <f>[1]Input_monitoring_data!AC105</f>
        <v>0</v>
      </c>
      <c r="K109" s="23" t="str">
        <f>[1]Input_monitoring_data!W105</f>
        <v>AfriDev</v>
      </c>
      <c r="L109" s="22">
        <f>[1]Input_monitoring_data!X105</f>
        <v>2005</v>
      </c>
      <c r="M109" s="21">
        <f>IF([1]Input_monitoring_data!BL105&gt;'Point Sources_Asset_Register_'!L109,[1]Input_monitoring_data!BL105,"")</f>
        <v>2016</v>
      </c>
      <c r="N109" s="22" t="str">
        <f>[1]Input_monitoring_data!BQ105</f>
        <v>partially functional</v>
      </c>
      <c r="O109" s="22">
        <f>[1]Input_monitoring_data!AJ105</f>
        <v>0</v>
      </c>
      <c r="P109" s="23" t="s">
        <v>0</v>
      </c>
      <c r="Q109" s="22">
        <f>L109</f>
        <v>2005</v>
      </c>
      <c r="R109" s="21">
        <f>M109</f>
        <v>2016</v>
      </c>
      <c r="S109" s="20">
        <f>[1]Input_EUL_CRC_ERC!$B$17-Table1[[#This Row],[Year Installed_WL]]</f>
        <v>12</v>
      </c>
      <c r="T109" s="20">
        <f>[1]Input_EUL_CRC_ERC!$B$17-(IF(Table1[[#This Row],[Year Last_Rehab_WL ]]=0,Table1[[#This Row],[Year Installed_WL]],[1]Input_EUL_CRC_ERC!$B$17-Table1[[#This Row],[Year Last_Rehab_WL ]]))</f>
        <v>12</v>
      </c>
      <c r="U109" s="20">
        <f>(VLOOKUP(Table1[[#This Row],[Item_Rehab_WL]],[1]Input_EUL_CRC_ERC!$C$17:$E$27,2,FALSE)-Table1[[#This Row],[Last Rehab Age]])</f>
        <v>3</v>
      </c>
      <c r="V109" s="19">
        <f>[1]Input_EUL_CRC_ERC!$B$17-Table1[[#This Row],[Year Installed_HP]]</f>
        <v>12</v>
      </c>
      <c r="W109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09" s="19">
        <f>[1]Input_EUL_CRC_ERC!$B$17-Table1[[#This Row],[Year Installed_PF]]</f>
        <v>12</v>
      </c>
      <c r="Y109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09" s="25">
        <f>IF(Table1[[#This Row],[Years_Next_Rehab_Well]]&lt;=0,VLOOKUP(Table1[[#This Row],[Item_Rehab_WL]],[1]!Table2[#All],3,FALSE),0)</f>
        <v>0</v>
      </c>
      <c r="AA109" s="18">
        <f>IF(Table1[[#This Row],[Adjusted_ULife_HP]]&lt;=0,VLOOKUP(Table1[[#This Row],[Item_Handpump]],[1]!Table2[#All],3,FALSE),0)</f>
        <v>0</v>
      </c>
      <c r="AB109" s="18">
        <f>IF(Table1[[#This Row],[Adjusted_ULife_PF]]&lt;=0,VLOOKUP(Table1[[#This Row],[Item_Platform]],[1]!Table2[#All],3,FALSE),0)</f>
        <v>0</v>
      </c>
      <c r="AC109" s="18">
        <f>SUM(Table1[[#This Row],[current yr_wl]:[current yr_pf]])</f>
        <v>0</v>
      </c>
      <c r="AD109" s="25">
        <f>IF(Table1[[#This Row],[Years_Next_Rehab_Well]]=1,VLOOKUP(Table1[[#This Row],[Item_Rehab_WL]],[1]!Table2[#All],4,FALSE),0)</f>
        <v>0</v>
      </c>
      <c r="AE109" s="25">
        <f>IF(Table1[[#This Row],[Adjusted_ULife_HP]]=1,VLOOKUP(Table1[[#This Row],[Item_Handpump]],[1]!Table2[#All],4,FALSE),0)</f>
        <v>0</v>
      </c>
      <c r="AF109" s="25">
        <f>IF(Table1[[#This Row],[Adjusted_ULife_PF]]=1,VLOOKUP(Table1[[#This Row],[Item_Platform]],[1]!Table2[#All],4,FALSE),0)</f>
        <v>0</v>
      </c>
      <c r="AG109" s="25">
        <f>SUM(Table1[[#This Row],[yr 1_wl]:[yr 1_pf]])</f>
        <v>0</v>
      </c>
      <c r="AH109" s="25">
        <f>IF(Table1[[#This Row],[Years_Next_Rehab_Well]]=2,VLOOKUP(Table1[[#This Row],[Item_Rehab_WL]],[1]!Table2[#All],5,FALSE),0)</f>
        <v>0</v>
      </c>
      <c r="AI109" s="25">
        <f>IF(Table1[[#This Row],[Adjusted_ULife_HP]]=2,VLOOKUP(Table1[[#This Row],[Item_Handpump]],[1]!Table2[#All],5,FALSE),0)</f>
        <v>0</v>
      </c>
      <c r="AJ109" s="25">
        <f>IF(Table1[[#This Row],[Adjusted_ULife_PF]]=2,VLOOKUP(Table1[[#This Row],[Item_Platform]],[1]!Table2[#All],5,FALSE),0)</f>
        <v>0</v>
      </c>
      <c r="AK109" s="25">
        <f>SUM(Table1[[#This Row],[yr 2_wl]:[yr 2_pf]])</f>
        <v>0</v>
      </c>
      <c r="AL109" s="25">
        <f>IF(Table1[[#This Row],[Years_Next_Rehab_Well]]=3,VLOOKUP(Table1[[#This Row],[Item_Rehab_WL]],[1]!Table2[#All],6,FALSE),0)</f>
        <v>5151.4026666666678</v>
      </c>
      <c r="AM109" s="25">
        <f>IF(Table1[[#This Row],[Adjusted_ULife_HP]]=3,VLOOKUP(Table1[[#This Row],[Item_Handpump]],[1]!Table2[#All],6,FALSE),0)</f>
        <v>0</v>
      </c>
      <c r="AN109" s="25">
        <f>IF(Table1[[#This Row],[Adjusted_ULife_PF]]=3,VLOOKUP(Table1[[#This Row],[Item_Platform]],[1]!Table2[#All],6,FALSE),0)</f>
        <v>0</v>
      </c>
      <c r="AO109" s="25">
        <f>SUM(Table1[[#This Row],[yr 3_wl]:[yr 3_pf]])</f>
        <v>5151.4026666666678</v>
      </c>
      <c r="AP109" s="25">
        <f>IF(Table1[[#This Row],[Years_Next_Rehab_Well]]=4,VLOOKUP(Table1[[#This Row],[Item_Rehab_WL]],[1]!Table2[#All],7,FALSE),0)</f>
        <v>0</v>
      </c>
      <c r="AQ109" s="25">
        <f>IF(Table1[[#This Row],[Adjusted_ULife_HP]]=4,VLOOKUP(Table1[[#This Row],[Item_Handpump]],[1]!Table2[#All],7,FALSE),0)</f>
        <v>0</v>
      </c>
      <c r="AR109" s="25">
        <f>IF(Table1[[#This Row],[Adjusted_ULife_PF]]=4,VLOOKUP(Table1[[#This Row],[Item_Platform]],[1]!Table2[#All],7,FALSE),0)</f>
        <v>0</v>
      </c>
      <c r="AS109" s="25">
        <f>SUM(Table1[[#This Row],[yr 4_wl]:[yr 4_pf]])</f>
        <v>0</v>
      </c>
      <c r="AT109" s="25">
        <f>IF(Table1[[#This Row],[Years_Next_Rehab_Well]]=5,VLOOKUP(Table1[[#This Row],[Item_Rehab_WL]],[1]!Table2[#All],8,FALSE),0)</f>
        <v>0</v>
      </c>
      <c r="AU109" s="25">
        <f>IF(Table1[[#This Row],[Adjusted_ULife_HP]]=5,VLOOKUP(Table1[[#This Row],[Item_Handpump]],[1]!Table2[#All],8,FALSE),0)</f>
        <v>0</v>
      </c>
      <c r="AV109" s="25">
        <f>IF(Table1[[#This Row],[Adjusted_ULife_PF]]=5,VLOOKUP(Table1[[#This Row],[Item_Platform]],[1]!Table2[#All],8,FALSE),0)</f>
        <v>0</v>
      </c>
      <c r="AW109" s="25">
        <f>SUM(Table1[[#This Row],[yr 5_wl]:[yr 5_pf]])</f>
        <v>0</v>
      </c>
      <c r="AX109" s="25">
        <f>IF(Table1[[#This Row],[Years_Next_Rehab_Well]]=6,VLOOKUP(Table1[[#This Row],[Item_Rehab_WL]],[1]!Table2[#All],9,FALSE),0)</f>
        <v>0</v>
      </c>
      <c r="AY109" s="25">
        <f>IF(Table1[[#This Row],[Adjusted_ULife_HP]]=6,VLOOKUP(Table1[[#This Row],[Item_Handpump]],[1]!Table2[#All],9,FALSE),0)</f>
        <v>0</v>
      </c>
      <c r="AZ109" s="25">
        <f>IF(Table1[[#This Row],[Adjusted_ULife_PF]]=6,VLOOKUP(Table1[[#This Row],[Item_Platform]],[1]!Table2[#All],9,FALSE),0)</f>
        <v>0</v>
      </c>
      <c r="BA109" s="25">
        <f>SUM(Table1[[#This Row],[yr 6_wl]:[yr 6_pf]])</f>
        <v>0</v>
      </c>
      <c r="BB109" s="25">
        <f>IF(Table1[[#This Row],[Years_Next_Rehab_Well]]=7,VLOOKUP(Table1[[#This Row],[Item_Rehab_WL]],[1]!Table2[#All],10,FALSE),0)</f>
        <v>0</v>
      </c>
      <c r="BC109" s="25">
        <f>IF(Table1[[#This Row],[Adjusted_ULife_HP]]=7,VLOOKUP(Table1[[#This Row],[Item_Handpump]],[1]!Table2[#All],10,FALSE),0)</f>
        <v>0</v>
      </c>
      <c r="BD109" s="25">
        <f>IF(Table1[[#This Row],[Adjusted_ULife_PF]]=7,VLOOKUP(Table1[[#This Row],[Item_Platform]],[1]!Table2[#All],10,FALSE),0)</f>
        <v>0</v>
      </c>
      <c r="BE109" s="25">
        <f>SUM(Table1[[#This Row],[yr 7_wl]:[yr 7_pf]])</f>
        <v>0</v>
      </c>
      <c r="BF109" s="25">
        <f>IF(Table1[[#This Row],[Years_Next_Rehab_Well]]=8,VLOOKUP(Table1[[#This Row],[Item_Rehab_WL]],[1]!Table2[#All],11,FALSE),0)</f>
        <v>0</v>
      </c>
      <c r="BG109" s="25">
        <f>IF(Table1[[#This Row],[Adjusted_ULife_HP]]=8,VLOOKUP(Table1[[#This Row],[Item_Handpump]],[1]!Table2[#All],11,FALSE),0)</f>
        <v>0</v>
      </c>
      <c r="BH109" s="25">
        <f>IF(Table1[[#This Row],[Adjusted_ULife_PF]]=8,VLOOKUP(Table1[[#This Row],[Item_Platform]],[1]!Table2[#All],11,FALSE),0)</f>
        <v>0</v>
      </c>
      <c r="BI109" s="25">
        <f>SUM(Table1[[#This Row],[yr 8_wl]:[yr 8_pf]])</f>
        <v>0</v>
      </c>
      <c r="BJ109" s="25">
        <f>IF(Table1[[#This Row],[Years_Next_Rehab_Well]]=9,VLOOKUP(Table1[[#This Row],[Item_Rehab_WL]],[1]!Table2[#All],12,FALSE),0)</f>
        <v>0</v>
      </c>
      <c r="BK109" s="25">
        <f>IF(Table1[[#This Row],[Adjusted_ULife_HP]]=9,VLOOKUP(Table1[[#This Row],[Item_Handpump]],[1]!Table2[#All],12,FALSE),0)</f>
        <v>0</v>
      </c>
      <c r="BL109" s="25">
        <f>IF(Table1[[#This Row],[Adjusted_ULife_PF]]=9,VLOOKUP(Table1[[#This Row],[Item_Platform]],[1]!Table2[#All],12,FALSE),0)</f>
        <v>4159.6181361752842</v>
      </c>
      <c r="BM109" s="25">
        <f>SUM(Table1[[#This Row],[yr 9_wl]:[yr 9_pf]])</f>
        <v>4159.6181361752842</v>
      </c>
      <c r="BN109" s="25">
        <f>IF(Table1[[#This Row],[Years_Next_Rehab_Well]]=10,VLOOKUP(Table1[[#This Row],[Item_Rehab_WL]],[1]!Table2[#All],13,FALSE),0)</f>
        <v>0</v>
      </c>
      <c r="BO109" s="25">
        <f>IF(Table1[[#This Row],[Adjusted_ULife_HP]]=10,VLOOKUP(Table1[[#This Row],[Item_Handpump]],[1]!Table2[#All],13,FALSE),0)</f>
        <v>0</v>
      </c>
      <c r="BP109" s="25">
        <f>IF(Table1[[#This Row],[Adjusted_ULife_PF]]=10,VLOOKUP(Table1[[#This Row],[Item_Platform]],[1]!Table2[#All],13,FALSE),0)</f>
        <v>0</v>
      </c>
      <c r="BQ109" s="25">
        <f>SUM(Table1[[#This Row],[yr 10_wl]:[yr 10_pf]])</f>
        <v>0</v>
      </c>
      <c r="BR109" s="25">
        <f>IF(Table1[[#This Row],[Years_Next_Rehab_Well]]=11,VLOOKUP(Table1[[#This Row],[Item_Rehab_WL]],[1]!Table2[#All],14,FALSE),0)</f>
        <v>0</v>
      </c>
      <c r="BS109" s="25">
        <f>IF(Table1[[#This Row],[Adjusted_ULife_HP]]=11,VLOOKUP(Table1[[#This Row],[Item_Handpump]],[1]!Table2[#All],14,FALSE),0)</f>
        <v>0</v>
      </c>
      <c r="BT109" s="25">
        <f>IF(Table1[[#This Row],[Adjusted_ULife_PF]]=11,VLOOKUP(Table1[[#This Row],[Item_Platform]],[1]!Table2[#All],14,FALSE),0)</f>
        <v>0</v>
      </c>
      <c r="BU109" s="25">
        <f>SUM(Table1[[#This Row],[yr 11_wl]:[yr 11_pf]])</f>
        <v>0</v>
      </c>
      <c r="BV109" s="25">
        <f>IF(Table1[[#This Row],[Years_Next_Rehab_Well]]=12,VLOOKUP(Table1[[#This Row],[Item_Rehab_WL]],[1]!Table2[#All],15,FALSE),0)</f>
        <v>0</v>
      </c>
      <c r="BW109" s="25">
        <f>IF(Table1[[#This Row],[Adjusted_ULife_HP]]=12,VLOOKUP(Table1[[#This Row],[Item_Handpump]],[1]!Table2[#All],15,FALSE),0)</f>
        <v>0</v>
      </c>
      <c r="BX109" s="25">
        <f>IF(Table1[[#This Row],[Adjusted_ULife_PF]]=12,VLOOKUP(Table1[[#This Row],[Item_Platform]],[1]!Table2[#All],15,FALSE),0)</f>
        <v>0</v>
      </c>
      <c r="BY109" s="25">
        <f>SUM(Table1[[#This Row],[yr 12_wl]:[yr 12_pf]])</f>
        <v>0</v>
      </c>
      <c r="BZ109" s="25">
        <f>IF(Table1[[#This Row],[Years_Next_Rehab_Well]]=13,VLOOKUP(Table1[[#This Row],[Item_Rehab_WL]],[1]!Table2[#All],16,FALSE),0)</f>
        <v>0</v>
      </c>
      <c r="CA109" s="25">
        <f>IF(Table1[[#This Row],[Adjusted_ULife_HP]]=13,VLOOKUP(Table1[[#This Row],[Item_Handpump]],[1]!Table2[#All],16,FALSE),0)</f>
        <v>0</v>
      </c>
      <c r="CB109" s="25">
        <f>IF(Table1[[#This Row],[Adjusted_ULife_PF]]=13,VLOOKUP(Table1[[#This Row],[Item_Platform]],[1]!Table2[#All],16,FALSE),0)</f>
        <v>0</v>
      </c>
      <c r="CC109" s="25">
        <f>SUM(Table1[[#This Row],[yr 13_wl]:[yr 13_pf]])</f>
        <v>0</v>
      </c>
      <c r="CD109" s="12"/>
    </row>
    <row r="110" spans="1:82" s="11" customFormat="1" x14ac:dyDescent="0.25">
      <c r="A110" s="11" t="str">
        <f>IF([1]Input_monitoring_data!A106="","",[1]Input_monitoring_data!A106)</f>
        <v>jbgm-skeq-va7f</v>
      </c>
      <c r="B110" s="22" t="str">
        <f>[1]Input_monitoring_data!BH106</f>
        <v>Gambia</v>
      </c>
      <c r="C110" s="22" t="str">
        <f>[1]Input_monitoring_data!BI106</f>
        <v>Gambia No.2</v>
      </c>
      <c r="D110" s="22" t="str">
        <f>[1]Input_monitoring_data!P106</f>
        <v>7.060961394031212</v>
      </c>
      <c r="E110" s="22" t="str">
        <f>[1]Input_monitoring_data!Q106</f>
        <v>-2.6544412406056055</v>
      </c>
      <c r="F110" s="22" t="str">
        <f>[1]Input_monitoring_data!V106</f>
        <v>Behind Nanahema Building</v>
      </c>
      <c r="G110" s="23" t="str">
        <f>[1]Input_monitoring_data!U106</f>
        <v>Borehole</v>
      </c>
      <c r="H110" s="22">
        <f>[1]Input_monitoring_data!X106</f>
        <v>1986</v>
      </c>
      <c r="I110" s="21" t="str">
        <f>[1]Input_monitoring_data!AB106</f>
        <v>Borehole redevelopment</v>
      </c>
      <c r="J110" s="21">
        <f>[1]Input_monitoring_data!AC106</f>
        <v>0</v>
      </c>
      <c r="K110" s="23" t="str">
        <f>[1]Input_monitoring_data!W106</f>
        <v>Ghana modified India Mark II</v>
      </c>
      <c r="L110" s="22">
        <f>[1]Input_monitoring_data!X106</f>
        <v>1986</v>
      </c>
      <c r="M110" s="21">
        <f>IF([1]Input_monitoring_data!BL106&gt;'Point Sources_Asset_Register_'!L110,[1]Input_monitoring_data!BL106,"")</f>
        <v>2014</v>
      </c>
      <c r="N110" s="22" t="str">
        <f>[1]Input_monitoring_data!BQ106</f>
        <v>not functional</v>
      </c>
      <c r="O110" s="22">
        <f>[1]Input_monitoring_data!AJ106</f>
        <v>0</v>
      </c>
      <c r="P110" s="23" t="s">
        <v>0</v>
      </c>
      <c r="Q110" s="22">
        <f>L110</f>
        <v>1986</v>
      </c>
      <c r="R110" s="21">
        <f>M110</f>
        <v>2014</v>
      </c>
      <c r="S110" s="20">
        <f>[1]Input_EUL_CRC_ERC!$B$17-Table1[[#This Row],[Year Installed_WL]]</f>
        <v>31</v>
      </c>
      <c r="T110" s="20">
        <f>[1]Input_EUL_CRC_ERC!$B$17-(IF(Table1[[#This Row],[Year Last_Rehab_WL ]]=0,Table1[[#This Row],[Year Installed_WL]],[1]Input_EUL_CRC_ERC!$B$17-Table1[[#This Row],[Year Last_Rehab_WL ]]))</f>
        <v>31</v>
      </c>
      <c r="U110" s="20">
        <f>(VLOOKUP(Table1[[#This Row],[Item_Rehab_WL]],[1]Input_EUL_CRC_ERC!$C$17:$E$27,2,FALSE)-Table1[[#This Row],[Last Rehab Age]])</f>
        <v>-16</v>
      </c>
      <c r="V110" s="19">
        <f>[1]Input_EUL_CRC_ERC!$B$17-Table1[[#This Row],[Year Installed_HP]]</f>
        <v>31</v>
      </c>
      <c r="W110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10" s="19">
        <f>[1]Input_EUL_CRC_ERC!$B$17-Table1[[#This Row],[Year Installed_PF]]</f>
        <v>31</v>
      </c>
      <c r="Y110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10" s="25">
        <f>IF(Table1[[#This Row],[Years_Next_Rehab_Well]]&lt;=0,VLOOKUP(Table1[[#This Row],[Item_Rehab_WL]],[1]!Table2[#All],3,FALSE),0)</f>
        <v>3666.6666666666665</v>
      </c>
      <c r="AA110" s="18">
        <f>IF(Table1[[#This Row],[Adjusted_ULife_HP]]&lt;=0,VLOOKUP(Table1[[#This Row],[Item_Handpump]],[1]!Table2[#All],3,FALSE),0)</f>
        <v>0</v>
      </c>
      <c r="AB110" s="18">
        <f>IF(Table1[[#This Row],[Adjusted_ULife_PF]]&lt;=0,VLOOKUP(Table1[[#This Row],[Item_Platform]],[1]!Table2[#All],3,FALSE),0)</f>
        <v>0</v>
      </c>
      <c r="AC110" s="18">
        <f>SUM(Table1[[#This Row],[current yr_wl]:[current yr_pf]])</f>
        <v>3666.6666666666665</v>
      </c>
      <c r="AD110" s="25">
        <f>IF(Table1[[#This Row],[Years_Next_Rehab_Well]]=1,VLOOKUP(Table1[[#This Row],[Item_Rehab_WL]],[1]!Table2[#All],4,FALSE),0)</f>
        <v>0</v>
      </c>
      <c r="AE110" s="25">
        <f>IF(Table1[[#This Row],[Adjusted_ULife_HP]]=1,VLOOKUP(Table1[[#This Row],[Item_Handpump]],[1]!Table2[#All],4,FALSE),0)</f>
        <v>0</v>
      </c>
      <c r="AF110" s="25">
        <f>IF(Table1[[#This Row],[Adjusted_ULife_PF]]=1,VLOOKUP(Table1[[#This Row],[Item_Platform]],[1]!Table2[#All],4,FALSE),0)</f>
        <v>0</v>
      </c>
      <c r="AG110" s="25">
        <f>SUM(Table1[[#This Row],[yr 1_wl]:[yr 1_pf]])</f>
        <v>0</v>
      </c>
      <c r="AH110" s="25">
        <f>IF(Table1[[#This Row],[Years_Next_Rehab_Well]]=2,VLOOKUP(Table1[[#This Row],[Item_Rehab_WL]],[1]!Table2[#All],5,FALSE),0)</f>
        <v>0</v>
      </c>
      <c r="AI110" s="25">
        <f>IF(Table1[[#This Row],[Adjusted_ULife_HP]]=2,VLOOKUP(Table1[[#This Row],[Item_Handpump]],[1]!Table2[#All],5,FALSE),0)</f>
        <v>0</v>
      </c>
      <c r="AJ110" s="25">
        <f>IF(Table1[[#This Row],[Adjusted_ULife_PF]]=2,VLOOKUP(Table1[[#This Row],[Item_Platform]],[1]!Table2[#All],5,FALSE),0)</f>
        <v>0</v>
      </c>
      <c r="AK110" s="25">
        <f>SUM(Table1[[#This Row],[yr 2_wl]:[yr 2_pf]])</f>
        <v>0</v>
      </c>
      <c r="AL110" s="25">
        <f>IF(Table1[[#This Row],[Years_Next_Rehab_Well]]=3,VLOOKUP(Table1[[#This Row],[Item_Rehab_WL]],[1]!Table2[#All],6,FALSE),0)</f>
        <v>0</v>
      </c>
      <c r="AM110" s="25">
        <f>IF(Table1[[#This Row],[Adjusted_ULife_HP]]=3,VLOOKUP(Table1[[#This Row],[Item_Handpump]],[1]!Table2[#All],6,FALSE),0)</f>
        <v>0</v>
      </c>
      <c r="AN110" s="25">
        <f>IF(Table1[[#This Row],[Adjusted_ULife_PF]]=3,VLOOKUP(Table1[[#This Row],[Item_Platform]],[1]!Table2[#All],6,FALSE),0)</f>
        <v>0</v>
      </c>
      <c r="AO110" s="25">
        <f>SUM(Table1[[#This Row],[yr 3_wl]:[yr 3_pf]])</f>
        <v>0</v>
      </c>
      <c r="AP110" s="25">
        <f>IF(Table1[[#This Row],[Years_Next_Rehab_Well]]=4,VLOOKUP(Table1[[#This Row],[Item_Rehab_WL]],[1]!Table2[#All],7,FALSE),0)</f>
        <v>0</v>
      </c>
      <c r="AQ110" s="25">
        <f>IF(Table1[[#This Row],[Adjusted_ULife_HP]]=4,VLOOKUP(Table1[[#This Row],[Item_Handpump]],[1]!Table2[#All],7,FALSE),0)</f>
        <v>0</v>
      </c>
      <c r="AR110" s="25">
        <f>IF(Table1[[#This Row],[Adjusted_ULife_PF]]=4,VLOOKUP(Table1[[#This Row],[Item_Platform]],[1]!Table2[#All],7,FALSE),0)</f>
        <v>0</v>
      </c>
      <c r="AS110" s="25">
        <f>SUM(Table1[[#This Row],[yr 4_wl]:[yr 4_pf]])</f>
        <v>0</v>
      </c>
      <c r="AT110" s="25">
        <f>IF(Table1[[#This Row],[Years_Next_Rehab_Well]]=5,VLOOKUP(Table1[[#This Row],[Item_Rehab_WL]],[1]!Table2[#All],8,FALSE),0)</f>
        <v>0</v>
      </c>
      <c r="AU110" s="25">
        <f>IF(Table1[[#This Row],[Adjusted_ULife_HP]]=5,VLOOKUP(Table1[[#This Row],[Item_Handpump]],[1]!Table2[#All],8,FALSE),0)</f>
        <v>0</v>
      </c>
      <c r="AV110" s="25">
        <f>IF(Table1[[#This Row],[Adjusted_ULife_PF]]=5,VLOOKUP(Table1[[#This Row],[Item_Platform]],[1]!Table2[#All],8,FALSE),0)</f>
        <v>0</v>
      </c>
      <c r="AW110" s="25">
        <f>SUM(Table1[[#This Row],[yr 5_wl]:[yr 5_pf]])</f>
        <v>0</v>
      </c>
      <c r="AX110" s="25">
        <f>IF(Table1[[#This Row],[Years_Next_Rehab_Well]]=6,VLOOKUP(Table1[[#This Row],[Item_Rehab_WL]],[1]!Table2[#All],9,FALSE),0)</f>
        <v>0</v>
      </c>
      <c r="AY110" s="25">
        <f>IF(Table1[[#This Row],[Adjusted_ULife_HP]]=6,VLOOKUP(Table1[[#This Row],[Item_Handpump]],[1]!Table2[#All],9,FALSE),0)</f>
        <v>0</v>
      </c>
      <c r="AZ110" s="25">
        <f>IF(Table1[[#This Row],[Adjusted_ULife_PF]]=6,VLOOKUP(Table1[[#This Row],[Item_Platform]],[1]!Table2[#All],9,FALSE),0)</f>
        <v>0</v>
      </c>
      <c r="BA110" s="25">
        <f>SUM(Table1[[#This Row],[yr 6_wl]:[yr 6_pf]])</f>
        <v>0</v>
      </c>
      <c r="BB110" s="25">
        <f>IF(Table1[[#This Row],[Years_Next_Rehab_Well]]=7,VLOOKUP(Table1[[#This Row],[Item_Rehab_WL]],[1]!Table2[#All],10,FALSE),0)</f>
        <v>0</v>
      </c>
      <c r="BC110" s="25">
        <f>IF(Table1[[#This Row],[Adjusted_ULife_HP]]=7,VLOOKUP(Table1[[#This Row],[Item_Handpump]],[1]!Table2[#All],10,FALSE),0)</f>
        <v>0</v>
      </c>
      <c r="BD110" s="25">
        <f>IF(Table1[[#This Row],[Adjusted_ULife_PF]]=7,VLOOKUP(Table1[[#This Row],[Item_Platform]],[1]!Table2[#All],10,FALSE),0)</f>
        <v>3316.0221111091228</v>
      </c>
      <c r="BE110" s="25">
        <f>SUM(Table1[[#This Row],[yr 7_wl]:[yr 7_pf]])</f>
        <v>3316.0221111091228</v>
      </c>
      <c r="BF110" s="25">
        <f>IF(Table1[[#This Row],[Years_Next_Rehab_Well]]=8,VLOOKUP(Table1[[#This Row],[Item_Rehab_WL]],[1]!Table2[#All],11,FALSE),0)</f>
        <v>0</v>
      </c>
      <c r="BG110" s="25">
        <f>IF(Table1[[#This Row],[Adjusted_ULife_HP]]=8,VLOOKUP(Table1[[#This Row],[Item_Handpump]],[1]!Table2[#All],11,FALSE),0)</f>
        <v>0</v>
      </c>
      <c r="BH110" s="25">
        <f>IF(Table1[[#This Row],[Adjusted_ULife_PF]]=8,VLOOKUP(Table1[[#This Row],[Item_Platform]],[1]!Table2[#All],11,FALSE),0)</f>
        <v>0</v>
      </c>
      <c r="BI110" s="25">
        <f>SUM(Table1[[#This Row],[yr 8_wl]:[yr 8_pf]])</f>
        <v>0</v>
      </c>
      <c r="BJ110" s="25">
        <f>IF(Table1[[#This Row],[Years_Next_Rehab_Well]]=9,VLOOKUP(Table1[[#This Row],[Item_Rehab_WL]],[1]!Table2[#All],12,FALSE),0)</f>
        <v>0</v>
      </c>
      <c r="BK110" s="25">
        <f>IF(Table1[[#This Row],[Adjusted_ULife_HP]]=9,VLOOKUP(Table1[[#This Row],[Item_Handpump]],[1]!Table2[#All],12,FALSE),0)</f>
        <v>0</v>
      </c>
      <c r="BL110" s="25">
        <f>IF(Table1[[#This Row],[Adjusted_ULife_PF]]=9,VLOOKUP(Table1[[#This Row],[Item_Platform]],[1]!Table2[#All],12,FALSE),0)</f>
        <v>0</v>
      </c>
      <c r="BM110" s="25">
        <f>SUM(Table1[[#This Row],[yr 9_wl]:[yr 9_pf]])</f>
        <v>0</v>
      </c>
      <c r="BN110" s="25">
        <f>IF(Table1[[#This Row],[Years_Next_Rehab_Well]]=10,VLOOKUP(Table1[[#This Row],[Item_Rehab_WL]],[1]!Table2[#All],13,FALSE),0)</f>
        <v>0</v>
      </c>
      <c r="BO110" s="25">
        <f>IF(Table1[[#This Row],[Adjusted_ULife_HP]]=10,VLOOKUP(Table1[[#This Row],[Item_Handpump]],[1]!Table2[#All],13,FALSE),0)</f>
        <v>0</v>
      </c>
      <c r="BP110" s="25">
        <f>IF(Table1[[#This Row],[Adjusted_ULife_PF]]=10,VLOOKUP(Table1[[#This Row],[Item_Platform]],[1]!Table2[#All],13,FALSE),0)</f>
        <v>0</v>
      </c>
      <c r="BQ110" s="25">
        <f>SUM(Table1[[#This Row],[yr 10_wl]:[yr 10_pf]])</f>
        <v>0</v>
      </c>
      <c r="BR110" s="25">
        <f>IF(Table1[[#This Row],[Years_Next_Rehab_Well]]=11,VLOOKUP(Table1[[#This Row],[Item_Rehab_WL]],[1]!Table2[#All],14,FALSE),0)</f>
        <v>0</v>
      </c>
      <c r="BS110" s="25">
        <f>IF(Table1[[#This Row],[Adjusted_ULife_HP]]=11,VLOOKUP(Table1[[#This Row],[Item_Handpump]],[1]!Table2[#All],14,FALSE),0)</f>
        <v>0</v>
      </c>
      <c r="BT110" s="25">
        <f>IF(Table1[[#This Row],[Adjusted_ULife_PF]]=11,VLOOKUP(Table1[[#This Row],[Item_Platform]],[1]!Table2[#All],14,FALSE),0)</f>
        <v>0</v>
      </c>
      <c r="BU110" s="25">
        <f>SUM(Table1[[#This Row],[yr 11_wl]:[yr 11_pf]])</f>
        <v>0</v>
      </c>
      <c r="BV110" s="25">
        <f>IF(Table1[[#This Row],[Years_Next_Rehab_Well]]=12,VLOOKUP(Table1[[#This Row],[Item_Rehab_WL]],[1]!Table2[#All],15,FALSE),0)</f>
        <v>0</v>
      </c>
      <c r="BW110" s="25">
        <f>IF(Table1[[#This Row],[Adjusted_ULife_HP]]=12,VLOOKUP(Table1[[#This Row],[Item_Handpump]],[1]!Table2[#All],15,FALSE),0)</f>
        <v>0</v>
      </c>
      <c r="BX110" s="25">
        <f>IF(Table1[[#This Row],[Adjusted_ULife_PF]]=12,VLOOKUP(Table1[[#This Row],[Item_Platform]],[1]!Table2[#All],15,FALSE),0)</f>
        <v>0</v>
      </c>
      <c r="BY110" s="25">
        <f>SUM(Table1[[#This Row],[yr 12_wl]:[yr 12_pf]])</f>
        <v>0</v>
      </c>
      <c r="BZ110" s="25">
        <f>IF(Table1[[#This Row],[Years_Next_Rehab_Well]]=13,VLOOKUP(Table1[[#This Row],[Item_Rehab_WL]],[1]!Table2[#All],16,FALSE),0)</f>
        <v>0</v>
      </c>
      <c r="CA110" s="25">
        <f>IF(Table1[[#This Row],[Adjusted_ULife_HP]]=13,VLOOKUP(Table1[[#This Row],[Item_Handpump]],[1]!Table2[#All],16,FALSE),0)</f>
        <v>0</v>
      </c>
      <c r="CB110" s="25">
        <f>IF(Table1[[#This Row],[Adjusted_ULife_PF]]=13,VLOOKUP(Table1[[#This Row],[Item_Platform]],[1]!Table2[#All],16,FALSE),0)</f>
        <v>0</v>
      </c>
      <c r="CC110" s="25">
        <f>SUM(Table1[[#This Row],[yr 13_wl]:[yr 13_pf]])</f>
        <v>0</v>
      </c>
      <c r="CD110" s="12"/>
    </row>
    <row r="111" spans="1:82" s="11" customFormat="1" x14ac:dyDescent="0.25">
      <c r="A111" s="11" t="str">
        <f>IF([1]Input_monitoring_data!A107="","",[1]Input_monitoring_data!A107)</f>
        <v>jt47-j9c0-bkx2</v>
      </c>
      <c r="B111" s="22" t="str">
        <f>[1]Input_monitoring_data!BH107</f>
        <v>Goamu</v>
      </c>
      <c r="C111" s="22" t="str">
        <f>[1]Input_monitoring_data!BI107</f>
        <v>Agya Mensah Akuraa</v>
      </c>
      <c r="D111" s="22" t="str">
        <f>[1]Input_monitoring_data!P107</f>
        <v>7.023345253923188</v>
      </c>
      <c r="E111" s="22" t="str">
        <f>[1]Input_monitoring_data!Q107</f>
        <v>-2.480237617937242</v>
      </c>
      <c r="F111" s="22" t="str">
        <f>[1]Input_monitoring_data!V107</f>
        <v>Near Buy The Future International School</v>
      </c>
      <c r="G111" s="23" t="str">
        <f>[1]Input_monitoring_data!U107</f>
        <v>Hand dug well</v>
      </c>
      <c r="H111" s="22">
        <f>[1]Input_monitoring_data!X107</f>
        <v>2012</v>
      </c>
      <c r="I111" s="21" t="str">
        <f>[1]Input_monitoring_data!AB107</f>
        <v>Borehole redevelopment</v>
      </c>
      <c r="J111" s="21">
        <f>[1]Input_monitoring_data!AC107</f>
        <v>0</v>
      </c>
      <c r="K111" s="23" t="str">
        <f>[1]Input_monitoring_data!W107</f>
        <v>Nira AF-85</v>
      </c>
      <c r="L111" s="22">
        <f>[1]Input_monitoring_data!X107</f>
        <v>2012</v>
      </c>
      <c r="M111" s="21" t="str">
        <f>IF([1]Input_monitoring_data!BL107&gt;'Point Sources_Asset_Register_'!L111,[1]Input_monitoring_data!BL107,"")</f>
        <v/>
      </c>
      <c r="N111" s="22" t="str">
        <f>[1]Input_monitoring_data!BQ107</f>
        <v>functional</v>
      </c>
      <c r="O111" s="22">
        <f>[1]Input_monitoring_data!AJ107</f>
        <v>0</v>
      </c>
      <c r="P111" s="23" t="s">
        <v>0</v>
      </c>
      <c r="Q111" s="22">
        <f>L111</f>
        <v>2012</v>
      </c>
      <c r="R111" s="21" t="str">
        <f>M111</f>
        <v/>
      </c>
      <c r="S111" s="20">
        <f>[1]Input_EUL_CRC_ERC!$B$17-Table1[[#This Row],[Year Installed_WL]]</f>
        <v>5</v>
      </c>
      <c r="T111" s="20">
        <f>[1]Input_EUL_CRC_ERC!$B$17-(IF(Table1[[#This Row],[Year Last_Rehab_WL ]]=0,Table1[[#This Row],[Year Installed_WL]],[1]Input_EUL_CRC_ERC!$B$17-Table1[[#This Row],[Year Last_Rehab_WL ]]))</f>
        <v>5</v>
      </c>
      <c r="U111" s="20">
        <f>(VLOOKUP(Table1[[#This Row],[Item_Rehab_WL]],[1]Input_EUL_CRC_ERC!$C$17:$E$27,2,FALSE)-Table1[[#This Row],[Last Rehab Age]])</f>
        <v>10</v>
      </c>
      <c r="V111" s="19">
        <f>[1]Input_EUL_CRC_ERC!$B$17-Table1[[#This Row],[Year Installed_HP]]</f>
        <v>5</v>
      </c>
      <c r="W111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111" s="19">
        <f>[1]Input_EUL_CRC_ERC!$B$17-Table1[[#This Row],[Year Installed_PF]]</f>
        <v>5</v>
      </c>
      <c r="Y111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111" s="25">
        <f>IF(Table1[[#This Row],[Years_Next_Rehab_Well]]&lt;=0,VLOOKUP(Table1[[#This Row],[Item_Rehab_WL]],[1]!Table2[#All],3,FALSE),0)</f>
        <v>0</v>
      </c>
      <c r="AA111" s="18">
        <f>IF(Table1[[#This Row],[Adjusted_ULife_HP]]&lt;=0,VLOOKUP(Table1[[#This Row],[Item_Handpump]],[1]!Table2[#All],3,FALSE),0)</f>
        <v>0</v>
      </c>
      <c r="AB111" s="18">
        <f>IF(Table1[[#This Row],[Adjusted_ULife_PF]]&lt;=0,VLOOKUP(Table1[[#This Row],[Item_Platform]],[1]!Table2[#All],3,FALSE),0)</f>
        <v>0</v>
      </c>
      <c r="AC111" s="18">
        <f>SUM(Table1[[#This Row],[current yr_wl]:[current yr_pf]])</f>
        <v>0</v>
      </c>
      <c r="AD111" s="25">
        <f>IF(Table1[[#This Row],[Years_Next_Rehab_Well]]=1,VLOOKUP(Table1[[#This Row],[Item_Rehab_WL]],[1]!Table2[#All],4,FALSE),0)</f>
        <v>0</v>
      </c>
      <c r="AE111" s="25">
        <f>IF(Table1[[#This Row],[Adjusted_ULife_HP]]=1,VLOOKUP(Table1[[#This Row],[Item_Handpump]],[1]!Table2[#All],4,FALSE),0)</f>
        <v>0</v>
      </c>
      <c r="AF111" s="25">
        <f>IF(Table1[[#This Row],[Adjusted_ULife_PF]]=1,VLOOKUP(Table1[[#This Row],[Item_Platform]],[1]!Table2[#All],4,FALSE),0)</f>
        <v>0</v>
      </c>
      <c r="AG111" s="25">
        <f>SUM(Table1[[#This Row],[yr 1_wl]:[yr 1_pf]])</f>
        <v>0</v>
      </c>
      <c r="AH111" s="25">
        <f>IF(Table1[[#This Row],[Years_Next_Rehab_Well]]=2,VLOOKUP(Table1[[#This Row],[Item_Rehab_WL]],[1]!Table2[#All],5,FALSE),0)</f>
        <v>0</v>
      </c>
      <c r="AI111" s="25">
        <f>IF(Table1[[#This Row],[Adjusted_ULife_HP]]=2,VLOOKUP(Table1[[#This Row],[Item_Handpump]],[1]!Table2[#All],5,FALSE),0)</f>
        <v>0</v>
      </c>
      <c r="AJ111" s="25">
        <f>IF(Table1[[#This Row],[Adjusted_ULife_PF]]=2,VLOOKUP(Table1[[#This Row],[Item_Platform]],[1]!Table2[#All],5,FALSE),0)</f>
        <v>0</v>
      </c>
      <c r="AK111" s="25">
        <f>SUM(Table1[[#This Row],[yr 2_wl]:[yr 2_pf]])</f>
        <v>0</v>
      </c>
      <c r="AL111" s="25">
        <f>IF(Table1[[#This Row],[Years_Next_Rehab_Well]]=3,VLOOKUP(Table1[[#This Row],[Item_Rehab_WL]],[1]!Table2[#All],6,FALSE),0)</f>
        <v>0</v>
      </c>
      <c r="AM111" s="25">
        <f>IF(Table1[[#This Row],[Adjusted_ULife_HP]]=3,VLOOKUP(Table1[[#This Row],[Item_Handpump]],[1]!Table2[#All],6,FALSE),0)</f>
        <v>0</v>
      </c>
      <c r="AN111" s="25">
        <f>IF(Table1[[#This Row],[Adjusted_ULife_PF]]=3,VLOOKUP(Table1[[#This Row],[Item_Platform]],[1]!Table2[#All],6,FALSE),0)</f>
        <v>0</v>
      </c>
      <c r="AO111" s="25">
        <f>SUM(Table1[[#This Row],[yr 3_wl]:[yr 3_pf]])</f>
        <v>0</v>
      </c>
      <c r="AP111" s="25">
        <f>IF(Table1[[#This Row],[Years_Next_Rehab_Well]]=4,VLOOKUP(Table1[[#This Row],[Item_Rehab_WL]],[1]!Table2[#All],7,FALSE),0)</f>
        <v>0</v>
      </c>
      <c r="AQ111" s="25">
        <f>IF(Table1[[#This Row],[Adjusted_ULife_HP]]=4,VLOOKUP(Table1[[#This Row],[Item_Handpump]],[1]!Table2[#All],7,FALSE),0)</f>
        <v>0</v>
      </c>
      <c r="AR111" s="25">
        <f>IF(Table1[[#This Row],[Adjusted_ULife_PF]]=4,VLOOKUP(Table1[[#This Row],[Item_Platform]],[1]!Table2[#All],7,FALSE),0)</f>
        <v>0</v>
      </c>
      <c r="AS111" s="25">
        <f>SUM(Table1[[#This Row],[yr 4_wl]:[yr 4_pf]])</f>
        <v>0</v>
      </c>
      <c r="AT111" s="25">
        <f>IF(Table1[[#This Row],[Years_Next_Rehab_Well]]=5,VLOOKUP(Table1[[#This Row],[Item_Rehab_WL]],[1]!Table2[#All],8,FALSE),0)</f>
        <v>0</v>
      </c>
      <c r="AU111" s="25">
        <f>IF(Table1[[#This Row],[Adjusted_ULife_HP]]=5,VLOOKUP(Table1[[#This Row],[Item_Handpump]],[1]!Table2[#All],8,FALSE),0)</f>
        <v>0</v>
      </c>
      <c r="AV111" s="25">
        <f>IF(Table1[[#This Row],[Adjusted_ULife_PF]]=5,VLOOKUP(Table1[[#This Row],[Item_Platform]],[1]!Table2[#All],8,FALSE),0)</f>
        <v>2643.5125248000018</v>
      </c>
      <c r="AW111" s="25">
        <f>SUM(Table1[[#This Row],[yr 5_wl]:[yr 5_pf]])</f>
        <v>2643.5125248000018</v>
      </c>
      <c r="AX111" s="25">
        <f>IF(Table1[[#This Row],[Years_Next_Rehab_Well]]=6,VLOOKUP(Table1[[#This Row],[Item_Rehab_WL]],[1]!Table2[#All],9,FALSE),0)</f>
        <v>0</v>
      </c>
      <c r="AY111" s="25">
        <f>IF(Table1[[#This Row],[Adjusted_ULife_HP]]=6,VLOOKUP(Table1[[#This Row],[Item_Handpump]],[1]!Table2[#All],9,FALSE),0)</f>
        <v>0</v>
      </c>
      <c r="AZ111" s="25">
        <f>IF(Table1[[#This Row],[Adjusted_ULife_PF]]=6,VLOOKUP(Table1[[#This Row],[Item_Platform]],[1]!Table2[#All],9,FALSE),0)</f>
        <v>0</v>
      </c>
      <c r="BA111" s="25">
        <f>SUM(Table1[[#This Row],[yr 6_wl]:[yr 6_pf]])</f>
        <v>0</v>
      </c>
      <c r="BB111" s="25">
        <f>IF(Table1[[#This Row],[Years_Next_Rehab_Well]]=7,VLOOKUP(Table1[[#This Row],[Item_Rehab_WL]],[1]!Table2[#All],10,FALSE),0)</f>
        <v>0</v>
      </c>
      <c r="BC111" s="25">
        <f>IF(Table1[[#This Row],[Adjusted_ULife_HP]]=7,VLOOKUP(Table1[[#This Row],[Item_Handpump]],[1]!Table2[#All],10,FALSE),0)</f>
        <v>0</v>
      </c>
      <c r="BD111" s="25">
        <f>IF(Table1[[#This Row],[Adjusted_ULife_PF]]=7,VLOOKUP(Table1[[#This Row],[Item_Platform]],[1]!Table2[#All],10,FALSE),0)</f>
        <v>0</v>
      </c>
      <c r="BE111" s="25">
        <f>SUM(Table1[[#This Row],[yr 7_wl]:[yr 7_pf]])</f>
        <v>0</v>
      </c>
      <c r="BF111" s="25">
        <f>IF(Table1[[#This Row],[Years_Next_Rehab_Well]]=8,VLOOKUP(Table1[[#This Row],[Item_Rehab_WL]],[1]!Table2[#All],11,FALSE),0)</f>
        <v>0</v>
      </c>
      <c r="BG111" s="25">
        <f>IF(Table1[[#This Row],[Adjusted_ULife_HP]]=8,VLOOKUP(Table1[[#This Row],[Item_Handpump]],[1]!Table2[#All],11,FALSE),0)</f>
        <v>0</v>
      </c>
      <c r="BH111" s="25">
        <f>IF(Table1[[#This Row],[Adjusted_ULife_PF]]=8,VLOOKUP(Table1[[#This Row],[Item_Platform]],[1]!Table2[#All],11,FALSE),0)</f>
        <v>0</v>
      </c>
      <c r="BI111" s="25">
        <f>SUM(Table1[[#This Row],[yr 8_wl]:[yr 8_pf]])</f>
        <v>0</v>
      </c>
      <c r="BJ111" s="25">
        <f>IF(Table1[[#This Row],[Years_Next_Rehab_Well]]=9,VLOOKUP(Table1[[#This Row],[Item_Rehab_WL]],[1]!Table2[#All],12,FALSE),0)</f>
        <v>0</v>
      </c>
      <c r="BK111" s="25">
        <f>IF(Table1[[#This Row],[Adjusted_ULife_HP]]=9,VLOOKUP(Table1[[#This Row],[Item_Handpump]],[1]!Table2[#All],12,FALSE),0)</f>
        <v>0</v>
      </c>
      <c r="BL111" s="25">
        <f>IF(Table1[[#This Row],[Adjusted_ULife_PF]]=9,VLOOKUP(Table1[[#This Row],[Item_Platform]],[1]!Table2[#All],12,FALSE),0)</f>
        <v>0</v>
      </c>
      <c r="BM111" s="25">
        <f>SUM(Table1[[#This Row],[yr 9_wl]:[yr 9_pf]])</f>
        <v>0</v>
      </c>
      <c r="BN111" s="25">
        <f>IF(Table1[[#This Row],[Years_Next_Rehab_Well]]=10,VLOOKUP(Table1[[#This Row],[Item_Rehab_WL]],[1]!Table2[#All],13,FALSE),0)</f>
        <v>11388.110097262112</v>
      </c>
      <c r="BO111" s="25">
        <f>IF(Table1[[#This Row],[Adjusted_ULife_HP]]=10,VLOOKUP(Table1[[#This Row],[Item_Handpump]],[1]!Table2[#All],13,FALSE),0)</f>
        <v>0</v>
      </c>
      <c r="BP111" s="25">
        <f>IF(Table1[[#This Row],[Adjusted_ULife_PF]]=10,VLOOKUP(Table1[[#This Row],[Item_Platform]],[1]!Table2[#All],13,FALSE),0)</f>
        <v>0</v>
      </c>
      <c r="BQ111" s="25">
        <f>SUM(Table1[[#This Row],[yr 10_wl]:[yr 10_pf]])</f>
        <v>11388.110097262112</v>
      </c>
      <c r="BR111" s="25">
        <f>IF(Table1[[#This Row],[Years_Next_Rehab_Well]]=11,VLOOKUP(Table1[[#This Row],[Item_Rehab_WL]],[1]!Table2[#All],14,FALSE),0)</f>
        <v>0</v>
      </c>
      <c r="BS111" s="25">
        <f>IF(Table1[[#This Row],[Adjusted_ULife_HP]]=11,VLOOKUP(Table1[[#This Row],[Item_Handpump]],[1]!Table2[#All],14,FALSE),0)</f>
        <v>0</v>
      </c>
      <c r="BT111" s="25">
        <f>IF(Table1[[#This Row],[Adjusted_ULife_PF]]=11,VLOOKUP(Table1[[#This Row],[Item_Platform]],[1]!Table2[#All],14,FALSE),0)</f>
        <v>0</v>
      </c>
      <c r="BU111" s="25">
        <f>SUM(Table1[[#This Row],[yr 11_wl]:[yr 11_pf]])</f>
        <v>0</v>
      </c>
      <c r="BV111" s="25">
        <f>IF(Table1[[#This Row],[Years_Next_Rehab_Well]]=12,VLOOKUP(Table1[[#This Row],[Item_Rehab_WL]],[1]!Table2[#All],15,FALSE),0)</f>
        <v>0</v>
      </c>
      <c r="BW111" s="25">
        <f>IF(Table1[[#This Row],[Adjusted_ULife_HP]]=12,VLOOKUP(Table1[[#This Row],[Item_Handpump]],[1]!Table2[#All],15,FALSE),0)</f>
        <v>0</v>
      </c>
      <c r="BX111" s="25">
        <f>IF(Table1[[#This Row],[Adjusted_ULife_PF]]=12,VLOOKUP(Table1[[#This Row],[Item_Platform]],[1]!Table2[#All],15,FALSE),0)</f>
        <v>0</v>
      </c>
      <c r="BY111" s="25">
        <f>SUM(Table1[[#This Row],[yr 12_wl]:[yr 12_pf]])</f>
        <v>0</v>
      </c>
      <c r="BZ111" s="25">
        <f>IF(Table1[[#This Row],[Years_Next_Rehab_Well]]=13,VLOOKUP(Table1[[#This Row],[Item_Rehab_WL]],[1]!Table2[#All],16,FALSE),0)</f>
        <v>0</v>
      </c>
      <c r="CA111" s="25">
        <f>IF(Table1[[#This Row],[Adjusted_ULife_HP]]=13,VLOOKUP(Table1[[#This Row],[Item_Handpump]],[1]!Table2[#All],16,FALSE),0)</f>
        <v>0</v>
      </c>
      <c r="CB111" s="25">
        <f>IF(Table1[[#This Row],[Adjusted_ULife_PF]]=13,VLOOKUP(Table1[[#This Row],[Item_Platform]],[1]!Table2[#All],16,FALSE),0)</f>
        <v>0</v>
      </c>
      <c r="CC111" s="25">
        <f>SUM(Table1[[#This Row],[yr 13_wl]:[yr 13_pf]])</f>
        <v>0</v>
      </c>
      <c r="CD111" s="12"/>
    </row>
    <row r="112" spans="1:82" s="11" customFormat="1" x14ac:dyDescent="0.25">
      <c r="A112" s="11" t="str">
        <f>IF([1]Input_monitoring_data!A108="","",[1]Input_monitoring_data!A108)</f>
        <v>k1ke-bk5c-q3na</v>
      </c>
      <c r="B112" s="22" t="str">
        <f>[1]Input_monitoring_data!BH108</f>
        <v>Kenyasi No.1</v>
      </c>
      <c r="C112" s="22" t="str">
        <f>[1]Input_monitoring_data!BI108</f>
        <v>Yakuba Village</v>
      </c>
      <c r="D112" s="22" t="str">
        <f>[1]Input_monitoring_data!P108</f>
        <v>6.958097265369156</v>
      </c>
      <c r="E112" s="22" t="str">
        <f>[1]Input_monitoring_data!Q108</f>
        <v>-2.4275019912806886</v>
      </c>
      <c r="F112" s="22" t="str">
        <f>[1]Input_monitoring_data!V108</f>
        <v>Just By The Roadside</v>
      </c>
      <c r="G112" s="23" t="str">
        <f>[1]Input_monitoring_data!U108</f>
        <v>Borehole</v>
      </c>
      <c r="H112" s="22">
        <f>[1]Input_monitoring_data!X108</f>
        <v>2012</v>
      </c>
      <c r="I112" s="21" t="str">
        <f>[1]Input_monitoring_data!AB108</f>
        <v>Borehole redevelopment</v>
      </c>
      <c r="J112" s="21">
        <f>[1]Input_monitoring_data!AC108</f>
        <v>0</v>
      </c>
      <c r="K112" s="23" t="str">
        <f>[1]Input_monitoring_data!W108</f>
        <v>AfriDev</v>
      </c>
      <c r="L112" s="22">
        <f>[1]Input_monitoring_data!X108</f>
        <v>2012</v>
      </c>
      <c r="M112" s="21" t="str">
        <f>IF([1]Input_monitoring_data!BL108&gt;'Point Sources_Asset_Register_'!L112,[1]Input_monitoring_data!BL108,"")</f>
        <v/>
      </c>
      <c r="N112" s="22" t="str">
        <f>[1]Input_monitoring_data!BQ108</f>
        <v>functional</v>
      </c>
      <c r="O112" s="22">
        <f>[1]Input_monitoring_data!AJ108</f>
        <v>0</v>
      </c>
      <c r="P112" s="23" t="s">
        <v>0</v>
      </c>
      <c r="Q112" s="22">
        <f>L112</f>
        <v>2012</v>
      </c>
      <c r="R112" s="21" t="str">
        <f>M112</f>
        <v/>
      </c>
      <c r="S112" s="20">
        <f>[1]Input_EUL_CRC_ERC!$B$17-Table1[[#This Row],[Year Installed_WL]]</f>
        <v>5</v>
      </c>
      <c r="T112" s="20">
        <f>[1]Input_EUL_CRC_ERC!$B$17-(IF(Table1[[#This Row],[Year Last_Rehab_WL ]]=0,Table1[[#This Row],[Year Installed_WL]],[1]Input_EUL_CRC_ERC!$B$17-Table1[[#This Row],[Year Last_Rehab_WL ]]))</f>
        <v>5</v>
      </c>
      <c r="U112" s="20">
        <f>(VLOOKUP(Table1[[#This Row],[Item_Rehab_WL]],[1]Input_EUL_CRC_ERC!$C$17:$E$27,2,FALSE)-Table1[[#This Row],[Last Rehab Age]])</f>
        <v>10</v>
      </c>
      <c r="V112" s="19">
        <f>[1]Input_EUL_CRC_ERC!$B$17-Table1[[#This Row],[Year Installed_HP]]</f>
        <v>5</v>
      </c>
      <c r="W112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112" s="19">
        <f>[1]Input_EUL_CRC_ERC!$B$17-Table1[[#This Row],[Year Installed_PF]]</f>
        <v>5</v>
      </c>
      <c r="Y112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112" s="25">
        <f>IF(Table1[[#This Row],[Years_Next_Rehab_Well]]&lt;=0,VLOOKUP(Table1[[#This Row],[Item_Rehab_WL]],[1]!Table2[#All],3,FALSE),0)</f>
        <v>0</v>
      </c>
      <c r="AA112" s="18">
        <f>IF(Table1[[#This Row],[Adjusted_ULife_HP]]&lt;=0,VLOOKUP(Table1[[#This Row],[Item_Handpump]],[1]!Table2[#All],3,FALSE),0)</f>
        <v>0</v>
      </c>
      <c r="AB112" s="18">
        <f>IF(Table1[[#This Row],[Adjusted_ULife_PF]]&lt;=0,VLOOKUP(Table1[[#This Row],[Item_Platform]],[1]!Table2[#All],3,FALSE),0)</f>
        <v>0</v>
      </c>
      <c r="AC112" s="18">
        <f>SUM(Table1[[#This Row],[current yr_wl]:[current yr_pf]])</f>
        <v>0</v>
      </c>
      <c r="AD112" s="25">
        <f>IF(Table1[[#This Row],[Years_Next_Rehab_Well]]=1,VLOOKUP(Table1[[#This Row],[Item_Rehab_WL]],[1]!Table2[#All],4,FALSE),0)</f>
        <v>0</v>
      </c>
      <c r="AE112" s="25">
        <f>IF(Table1[[#This Row],[Adjusted_ULife_HP]]=1,VLOOKUP(Table1[[#This Row],[Item_Handpump]],[1]!Table2[#All],4,FALSE),0)</f>
        <v>0</v>
      </c>
      <c r="AF112" s="25">
        <f>IF(Table1[[#This Row],[Adjusted_ULife_PF]]=1,VLOOKUP(Table1[[#This Row],[Item_Platform]],[1]!Table2[#All],4,FALSE),0)</f>
        <v>0</v>
      </c>
      <c r="AG112" s="25">
        <f>SUM(Table1[[#This Row],[yr 1_wl]:[yr 1_pf]])</f>
        <v>0</v>
      </c>
      <c r="AH112" s="25">
        <f>IF(Table1[[#This Row],[Years_Next_Rehab_Well]]=2,VLOOKUP(Table1[[#This Row],[Item_Rehab_WL]],[1]!Table2[#All],5,FALSE),0)</f>
        <v>0</v>
      </c>
      <c r="AI112" s="25">
        <f>IF(Table1[[#This Row],[Adjusted_ULife_HP]]=2,VLOOKUP(Table1[[#This Row],[Item_Handpump]],[1]!Table2[#All],5,FALSE),0)</f>
        <v>0</v>
      </c>
      <c r="AJ112" s="25">
        <f>IF(Table1[[#This Row],[Adjusted_ULife_PF]]=2,VLOOKUP(Table1[[#This Row],[Item_Platform]],[1]!Table2[#All],5,FALSE),0)</f>
        <v>0</v>
      </c>
      <c r="AK112" s="25">
        <f>SUM(Table1[[#This Row],[yr 2_wl]:[yr 2_pf]])</f>
        <v>0</v>
      </c>
      <c r="AL112" s="25">
        <f>IF(Table1[[#This Row],[Years_Next_Rehab_Well]]=3,VLOOKUP(Table1[[#This Row],[Item_Rehab_WL]],[1]!Table2[#All],6,FALSE),0)</f>
        <v>0</v>
      </c>
      <c r="AM112" s="25">
        <f>IF(Table1[[#This Row],[Adjusted_ULife_HP]]=3,VLOOKUP(Table1[[#This Row],[Item_Handpump]],[1]!Table2[#All],6,FALSE),0)</f>
        <v>0</v>
      </c>
      <c r="AN112" s="25">
        <f>IF(Table1[[#This Row],[Adjusted_ULife_PF]]=3,VLOOKUP(Table1[[#This Row],[Item_Platform]],[1]!Table2[#All],6,FALSE),0)</f>
        <v>0</v>
      </c>
      <c r="AO112" s="25">
        <f>SUM(Table1[[#This Row],[yr 3_wl]:[yr 3_pf]])</f>
        <v>0</v>
      </c>
      <c r="AP112" s="25">
        <f>IF(Table1[[#This Row],[Years_Next_Rehab_Well]]=4,VLOOKUP(Table1[[#This Row],[Item_Rehab_WL]],[1]!Table2[#All],7,FALSE),0)</f>
        <v>0</v>
      </c>
      <c r="AQ112" s="25">
        <f>IF(Table1[[#This Row],[Adjusted_ULife_HP]]=4,VLOOKUP(Table1[[#This Row],[Item_Handpump]],[1]!Table2[#All],7,FALSE),0)</f>
        <v>0</v>
      </c>
      <c r="AR112" s="25">
        <f>IF(Table1[[#This Row],[Adjusted_ULife_PF]]=4,VLOOKUP(Table1[[#This Row],[Item_Platform]],[1]!Table2[#All],7,FALSE),0)</f>
        <v>0</v>
      </c>
      <c r="AS112" s="25">
        <f>SUM(Table1[[#This Row],[yr 4_wl]:[yr 4_pf]])</f>
        <v>0</v>
      </c>
      <c r="AT112" s="25">
        <f>IF(Table1[[#This Row],[Years_Next_Rehab_Well]]=5,VLOOKUP(Table1[[#This Row],[Item_Rehab_WL]],[1]!Table2[#All],8,FALSE),0)</f>
        <v>0</v>
      </c>
      <c r="AU112" s="25">
        <f>IF(Table1[[#This Row],[Adjusted_ULife_HP]]=5,VLOOKUP(Table1[[#This Row],[Item_Handpump]],[1]!Table2[#All],8,FALSE),0)</f>
        <v>0</v>
      </c>
      <c r="AV112" s="25">
        <f>IF(Table1[[#This Row],[Adjusted_ULife_PF]]=5,VLOOKUP(Table1[[#This Row],[Item_Platform]],[1]!Table2[#All],8,FALSE),0)</f>
        <v>2643.5125248000018</v>
      </c>
      <c r="AW112" s="25">
        <f>SUM(Table1[[#This Row],[yr 5_wl]:[yr 5_pf]])</f>
        <v>2643.5125248000018</v>
      </c>
      <c r="AX112" s="25">
        <f>IF(Table1[[#This Row],[Years_Next_Rehab_Well]]=6,VLOOKUP(Table1[[#This Row],[Item_Rehab_WL]],[1]!Table2[#All],9,FALSE),0)</f>
        <v>0</v>
      </c>
      <c r="AY112" s="25">
        <f>IF(Table1[[#This Row],[Adjusted_ULife_HP]]=6,VLOOKUP(Table1[[#This Row],[Item_Handpump]],[1]!Table2[#All],9,FALSE),0)</f>
        <v>0</v>
      </c>
      <c r="AZ112" s="25">
        <f>IF(Table1[[#This Row],[Adjusted_ULife_PF]]=6,VLOOKUP(Table1[[#This Row],[Item_Platform]],[1]!Table2[#All],9,FALSE),0)</f>
        <v>0</v>
      </c>
      <c r="BA112" s="25">
        <f>SUM(Table1[[#This Row],[yr 6_wl]:[yr 6_pf]])</f>
        <v>0</v>
      </c>
      <c r="BB112" s="25">
        <f>IF(Table1[[#This Row],[Years_Next_Rehab_Well]]=7,VLOOKUP(Table1[[#This Row],[Item_Rehab_WL]],[1]!Table2[#All],10,FALSE),0)</f>
        <v>0</v>
      </c>
      <c r="BC112" s="25">
        <f>IF(Table1[[#This Row],[Adjusted_ULife_HP]]=7,VLOOKUP(Table1[[#This Row],[Item_Handpump]],[1]!Table2[#All],10,FALSE),0)</f>
        <v>0</v>
      </c>
      <c r="BD112" s="25">
        <f>IF(Table1[[#This Row],[Adjusted_ULife_PF]]=7,VLOOKUP(Table1[[#This Row],[Item_Platform]],[1]!Table2[#All],10,FALSE),0)</f>
        <v>0</v>
      </c>
      <c r="BE112" s="25">
        <f>SUM(Table1[[#This Row],[yr 7_wl]:[yr 7_pf]])</f>
        <v>0</v>
      </c>
      <c r="BF112" s="25">
        <f>IF(Table1[[#This Row],[Years_Next_Rehab_Well]]=8,VLOOKUP(Table1[[#This Row],[Item_Rehab_WL]],[1]!Table2[#All],11,FALSE),0)</f>
        <v>0</v>
      </c>
      <c r="BG112" s="25">
        <f>IF(Table1[[#This Row],[Adjusted_ULife_HP]]=8,VLOOKUP(Table1[[#This Row],[Item_Handpump]],[1]!Table2[#All],11,FALSE),0)</f>
        <v>0</v>
      </c>
      <c r="BH112" s="25">
        <f>IF(Table1[[#This Row],[Adjusted_ULife_PF]]=8,VLOOKUP(Table1[[#This Row],[Item_Platform]],[1]!Table2[#All],11,FALSE),0)</f>
        <v>0</v>
      </c>
      <c r="BI112" s="25">
        <f>SUM(Table1[[#This Row],[yr 8_wl]:[yr 8_pf]])</f>
        <v>0</v>
      </c>
      <c r="BJ112" s="25">
        <f>IF(Table1[[#This Row],[Years_Next_Rehab_Well]]=9,VLOOKUP(Table1[[#This Row],[Item_Rehab_WL]],[1]!Table2[#All],12,FALSE),0)</f>
        <v>0</v>
      </c>
      <c r="BK112" s="25">
        <f>IF(Table1[[#This Row],[Adjusted_ULife_HP]]=9,VLOOKUP(Table1[[#This Row],[Item_Handpump]],[1]!Table2[#All],12,FALSE),0)</f>
        <v>0</v>
      </c>
      <c r="BL112" s="25">
        <f>IF(Table1[[#This Row],[Adjusted_ULife_PF]]=9,VLOOKUP(Table1[[#This Row],[Item_Platform]],[1]!Table2[#All],12,FALSE),0)</f>
        <v>0</v>
      </c>
      <c r="BM112" s="25">
        <f>SUM(Table1[[#This Row],[yr 9_wl]:[yr 9_pf]])</f>
        <v>0</v>
      </c>
      <c r="BN112" s="25">
        <f>IF(Table1[[#This Row],[Years_Next_Rehab_Well]]=10,VLOOKUP(Table1[[#This Row],[Item_Rehab_WL]],[1]!Table2[#All],13,FALSE),0)</f>
        <v>11388.110097262112</v>
      </c>
      <c r="BO112" s="25">
        <f>IF(Table1[[#This Row],[Adjusted_ULife_HP]]=10,VLOOKUP(Table1[[#This Row],[Item_Handpump]],[1]!Table2[#All],13,FALSE),0)</f>
        <v>0</v>
      </c>
      <c r="BP112" s="25">
        <f>IF(Table1[[#This Row],[Adjusted_ULife_PF]]=10,VLOOKUP(Table1[[#This Row],[Item_Platform]],[1]!Table2[#All],13,FALSE),0)</f>
        <v>0</v>
      </c>
      <c r="BQ112" s="25">
        <f>SUM(Table1[[#This Row],[yr 10_wl]:[yr 10_pf]])</f>
        <v>11388.110097262112</v>
      </c>
      <c r="BR112" s="25">
        <f>IF(Table1[[#This Row],[Years_Next_Rehab_Well]]=11,VLOOKUP(Table1[[#This Row],[Item_Rehab_WL]],[1]!Table2[#All],14,FALSE),0)</f>
        <v>0</v>
      </c>
      <c r="BS112" s="25">
        <f>IF(Table1[[#This Row],[Adjusted_ULife_HP]]=11,VLOOKUP(Table1[[#This Row],[Item_Handpump]],[1]!Table2[#All],14,FALSE),0)</f>
        <v>0</v>
      </c>
      <c r="BT112" s="25">
        <f>IF(Table1[[#This Row],[Adjusted_ULife_PF]]=11,VLOOKUP(Table1[[#This Row],[Item_Platform]],[1]!Table2[#All],14,FALSE),0)</f>
        <v>0</v>
      </c>
      <c r="BU112" s="25">
        <f>SUM(Table1[[#This Row],[yr 11_wl]:[yr 11_pf]])</f>
        <v>0</v>
      </c>
      <c r="BV112" s="25">
        <f>IF(Table1[[#This Row],[Years_Next_Rehab_Well]]=12,VLOOKUP(Table1[[#This Row],[Item_Rehab_WL]],[1]!Table2[#All],15,FALSE),0)</f>
        <v>0</v>
      </c>
      <c r="BW112" s="25">
        <f>IF(Table1[[#This Row],[Adjusted_ULife_HP]]=12,VLOOKUP(Table1[[#This Row],[Item_Handpump]],[1]!Table2[#All],15,FALSE),0)</f>
        <v>0</v>
      </c>
      <c r="BX112" s="25">
        <f>IF(Table1[[#This Row],[Adjusted_ULife_PF]]=12,VLOOKUP(Table1[[#This Row],[Item_Platform]],[1]!Table2[#All],15,FALSE),0)</f>
        <v>0</v>
      </c>
      <c r="BY112" s="25">
        <f>SUM(Table1[[#This Row],[yr 12_wl]:[yr 12_pf]])</f>
        <v>0</v>
      </c>
      <c r="BZ112" s="25">
        <f>IF(Table1[[#This Row],[Years_Next_Rehab_Well]]=13,VLOOKUP(Table1[[#This Row],[Item_Rehab_WL]],[1]!Table2[#All],16,FALSE),0)</f>
        <v>0</v>
      </c>
      <c r="CA112" s="25">
        <f>IF(Table1[[#This Row],[Adjusted_ULife_HP]]=13,VLOOKUP(Table1[[#This Row],[Item_Handpump]],[1]!Table2[#All],16,FALSE),0)</f>
        <v>0</v>
      </c>
      <c r="CB112" s="25">
        <f>IF(Table1[[#This Row],[Adjusted_ULife_PF]]=13,VLOOKUP(Table1[[#This Row],[Item_Platform]],[1]!Table2[#All],16,FALSE),0)</f>
        <v>0</v>
      </c>
      <c r="CC112" s="25">
        <f>SUM(Table1[[#This Row],[yr 13_wl]:[yr 13_pf]])</f>
        <v>0</v>
      </c>
      <c r="CD112" s="12"/>
    </row>
    <row r="113" spans="1:82" s="11" customFormat="1" x14ac:dyDescent="0.25">
      <c r="A113" s="11" t="str">
        <f>IF([1]Input_monitoring_data!A109="","",[1]Input_monitoring_data!A109)</f>
        <v>k2qf-q97c-ar2e</v>
      </c>
      <c r="B113" s="22" t="str">
        <f>[1]Input_monitoring_data!BH109</f>
        <v>Kenyasi No.1</v>
      </c>
      <c r="C113" s="22" t="str">
        <f>[1]Input_monitoring_data!BI109</f>
        <v>Obengkrom</v>
      </c>
      <c r="D113" s="22" t="str">
        <f>[1]Input_monitoring_data!P109</f>
        <v>6.935930036552514</v>
      </c>
      <c r="E113" s="22" t="str">
        <f>[1]Input_monitoring_data!Q109</f>
        <v>-2.4113156034200003</v>
      </c>
      <c r="F113" s="22" t="str">
        <f>[1]Input_monitoring_data!V109</f>
        <v>School Premises</v>
      </c>
      <c r="G113" s="23" t="str">
        <f>[1]Input_monitoring_data!U109</f>
        <v>Borehole</v>
      </c>
      <c r="H113" s="22">
        <f>[1]Input_monitoring_data!X109</f>
        <v>2012</v>
      </c>
      <c r="I113" s="21" t="str">
        <f>[1]Input_monitoring_data!AB109</f>
        <v>Borehole redevelopment</v>
      </c>
      <c r="J113" s="21">
        <f>[1]Input_monitoring_data!AC109</f>
        <v>0</v>
      </c>
      <c r="K113" s="23" t="str">
        <f>[1]Input_monitoring_data!W109</f>
        <v>AfriDev</v>
      </c>
      <c r="L113" s="22">
        <f>[1]Input_monitoring_data!X109</f>
        <v>2012</v>
      </c>
      <c r="M113" s="21">
        <f>IF([1]Input_monitoring_data!BL109&gt;'Point Sources_Asset_Register_'!L113,[1]Input_monitoring_data!BL109,"")</f>
        <v>2016</v>
      </c>
      <c r="N113" s="22" t="str">
        <f>[1]Input_monitoring_data!BQ109</f>
        <v>functional</v>
      </c>
      <c r="O113" s="22">
        <f>[1]Input_monitoring_data!AJ109</f>
        <v>0</v>
      </c>
      <c r="P113" s="23" t="s">
        <v>0</v>
      </c>
      <c r="Q113" s="22">
        <f>L113</f>
        <v>2012</v>
      </c>
      <c r="R113" s="21">
        <f>M113</f>
        <v>2016</v>
      </c>
      <c r="S113" s="20">
        <f>[1]Input_EUL_CRC_ERC!$B$17-Table1[[#This Row],[Year Installed_WL]]</f>
        <v>5</v>
      </c>
      <c r="T113" s="20">
        <f>[1]Input_EUL_CRC_ERC!$B$17-(IF(Table1[[#This Row],[Year Last_Rehab_WL ]]=0,Table1[[#This Row],[Year Installed_WL]],[1]Input_EUL_CRC_ERC!$B$17-Table1[[#This Row],[Year Last_Rehab_WL ]]))</f>
        <v>5</v>
      </c>
      <c r="U113" s="20">
        <f>(VLOOKUP(Table1[[#This Row],[Item_Rehab_WL]],[1]Input_EUL_CRC_ERC!$C$17:$E$27,2,FALSE)-Table1[[#This Row],[Last Rehab Age]])</f>
        <v>10</v>
      </c>
      <c r="V113" s="19">
        <f>[1]Input_EUL_CRC_ERC!$B$17-Table1[[#This Row],[Year Installed_HP]]</f>
        <v>5</v>
      </c>
      <c r="W113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13" s="19">
        <f>[1]Input_EUL_CRC_ERC!$B$17-Table1[[#This Row],[Year Installed_PF]]</f>
        <v>5</v>
      </c>
      <c r="Y113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13" s="25">
        <f>IF(Table1[[#This Row],[Years_Next_Rehab_Well]]&lt;=0,VLOOKUP(Table1[[#This Row],[Item_Rehab_WL]],[1]!Table2[#All],3,FALSE),0)</f>
        <v>0</v>
      </c>
      <c r="AA113" s="18">
        <f>IF(Table1[[#This Row],[Adjusted_ULife_HP]]&lt;=0,VLOOKUP(Table1[[#This Row],[Item_Handpump]],[1]!Table2[#All],3,FALSE),0)</f>
        <v>0</v>
      </c>
      <c r="AB113" s="18">
        <f>IF(Table1[[#This Row],[Adjusted_ULife_PF]]&lt;=0,VLOOKUP(Table1[[#This Row],[Item_Platform]],[1]!Table2[#All],3,FALSE),0)</f>
        <v>0</v>
      </c>
      <c r="AC113" s="18">
        <f>SUM(Table1[[#This Row],[current yr_wl]:[current yr_pf]])</f>
        <v>0</v>
      </c>
      <c r="AD113" s="25">
        <f>IF(Table1[[#This Row],[Years_Next_Rehab_Well]]=1,VLOOKUP(Table1[[#This Row],[Item_Rehab_WL]],[1]!Table2[#All],4,FALSE),0)</f>
        <v>0</v>
      </c>
      <c r="AE113" s="25">
        <f>IF(Table1[[#This Row],[Adjusted_ULife_HP]]=1,VLOOKUP(Table1[[#This Row],[Item_Handpump]],[1]!Table2[#All],4,FALSE),0)</f>
        <v>0</v>
      </c>
      <c r="AF113" s="25">
        <f>IF(Table1[[#This Row],[Adjusted_ULife_PF]]=1,VLOOKUP(Table1[[#This Row],[Item_Platform]],[1]!Table2[#All],4,FALSE),0)</f>
        <v>0</v>
      </c>
      <c r="AG113" s="25">
        <f>SUM(Table1[[#This Row],[yr 1_wl]:[yr 1_pf]])</f>
        <v>0</v>
      </c>
      <c r="AH113" s="25">
        <f>IF(Table1[[#This Row],[Years_Next_Rehab_Well]]=2,VLOOKUP(Table1[[#This Row],[Item_Rehab_WL]],[1]!Table2[#All],5,FALSE),0)</f>
        <v>0</v>
      </c>
      <c r="AI113" s="25">
        <f>IF(Table1[[#This Row],[Adjusted_ULife_HP]]=2,VLOOKUP(Table1[[#This Row],[Item_Handpump]],[1]!Table2[#All],5,FALSE),0)</f>
        <v>0</v>
      </c>
      <c r="AJ113" s="25">
        <f>IF(Table1[[#This Row],[Adjusted_ULife_PF]]=2,VLOOKUP(Table1[[#This Row],[Item_Platform]],[1]!Table2[#All],5,FALSE),0)</f>
        <v>0</v>
      </c>
      <c r="AK113" s="25">
        <f>SUM(Table1[[#This Row],[yr 2_wl]:[yr 2_pf]])</f>
        <v>0</v>
      </c>
      <c r="AL113" s="25">
        <f>IF(Table1[[#This Row],[Years_Next_Rehab_Well]]=3,VLOOKUP(Table1[[#This Row],[Item_Rehab_WL]],[1]!Table2[#All],6,FALSE),0)</f>
        <v>0</v>
      </c>
      <c r="AM113" s="25">
        <f>IF(Table1[[#This Row],[Adjusted_ULife_HP]]=3,VLOOKUP(Table1[[#This Row],[Item_Handpump]],[1]!Table2[#All],6,FALSE),0)</f>
        <v>0</v>
      </c>
      <c r="AN113" s="25">
        <f>IF(Table1[[#This Row],[Adjusted_ULife_PF]]=3,VLOOKUP(Table1[[#This Row],[Item_Platform]],[1]!Table2[#All],6,FALSE),0)</f>
        <v>0</v>
      </c>
      <c r="AO113" s="25">
        <f>SUM(Table1[[#This Row],[yr 3_wl]:[yr 3_pf]])</f>
        <v>0</v>
      </c>
      <c r="AP113" s="25">
        <f>IF(Table1[[#This Row],[Years_Next_Rehab_Well]]=4,VLOOKUP(Table1[[#This Row],[Item_Rehab_WL]],[1]!Table2[#All],7,FALSE),0)</f>
        <v>0</v>
      </c>
      <c r="AQ113" s="25">
        <f>IF(Table1[[#This Row],[Adjusted_ULife_HP]]=4,VLOOKUP(Table1[[#This Row],[Item_Handpump]],[1]!Table2[#All],7,FALSE),0)</f>
        <v>0</v>
      </c>
      <c r="AR113" s="25">
        <f>IF(Table1[[#This Row],[Adjusted_ULife_PF]]=4,VLOOKUP(Table1[[#This Row],[Item_Platform]],[1]!Table2[#All],7,FALSE),0)</f>
        <v>0</v>
      </c>
      <c r="AS113" s="25">
        <f>SUM(Table1[[#This Row],[yr 4_wl]:[yr 4_pf]])</f>
        <v>0</v>
      </c>
      <c r="AT113" s="25">
        <f>IF(Table1[[#This Row],[Years_Next_Rehab_Well]]=5,VLOOKUP(Table1[[#This Row],[Item_Rehab_WL]],[1]!Table2[#All],8,FALSE),0)</f>
        <v>0</v>
      </c>
      <c r="AU113" s="25">
        <f>IF(Table1[[#This Row],[Adjusted_ULife_HP]]=5,VLOOKUP(Table1[[#This Row],[Item_Handpump]],[1]!Table2[#All],8,FALSE),0)</f>
        <v>0</v>
      </c>
      <c r="AV113" s="25">
        <f>IF(Table1[[#This Row],[Adjusted_ULife_PF]]=5,VLOOKUP(Table1[[#This Row],[Item_Platform]],[1]!Table2[#All],8,FALSE),0)</f>
        <v>0</v>
      </c>
      <c r="AW113" s="25">
        <f>SUM(Table1[[#This Row],[yr 5_wl]:[yr 5_pf]])</f>
        <v>0</v>
      </c>
      <c r="AX113" s="25">
        <f>IF(Table1[[#This Row],[Years_Next_Rehab_Well]]=6,VLOOKUP(Table1[[#This Row],[Item_Rehab_WL]],[1]!Table2[#All],9,FALSE),0)</f>
        <v>0</v>
      </c>
      <c r="AY113" s="25">
        <f>IF(Table1[[#This Row],[Adjusted_ULife_HP]]=6,VLOOKUP(Table1[[#This Row],[Item_Handpump]],[1]!Table2[#All],9,FALSE),0)</f>
        <v>0</v>
      </c>
      <c r="AZ113" s="25">
        <f>IF(Table1[[#This Row],[Adjusted_ULife_PF]]=6,VLOOKUP(Table1[[#This Row],[Item_Platform]],[1]!Table2[#All],9,FALSE),0)</f>
        <v>0</v>
      </c>
      <c r="BA113" s="25">
        <f>SUM(Table1[[#This Row],[yr 6_wl]:[yr 6_pf]])</f>
        <v>0</v>
      </c>
      <c r="BB113" s="25">
        <f>IF(Table1[[#This Row],[Years_Next_Rehab_Well]]=7,VLOOKUP(Table1[[#This Row],[Item_Rehab_WL]],[1]!Table2[#All],10,FALSE),0)</f>
        <v>0</v>
      </c>
      <c r="BC113" s="25">
        <f>IF(Table1[[#This Row],[Adjusted_ULife_HP]]=7,VLOOKUP(Table1[[#This Row],[Item_Handpump]],[1]!Table2[#All],10,FALSE),0)</f>
        <v>0</v>
      </c>
      <c r="BD113" s="25">
        <f>IF(Table1[[#This Row],[Adjusted_ULife_PF]]=7,VLOOKUP(Table1[[#This Row],[Item_Platform]],[1]!Table2[#All],10,FALSE),0)</f>
        <v>0</v>
      </c>
      <c r="BE113" s="25">
        <f>SUM(Table1[[#This Row],[yr 7_wl]:[yr 7_pf]])</f>
        <v>0</v>
      </c>
      <c r="BF113" s="25">
        <f>IF(Table1[[#This Row],[Years_Next_Rehab_Well]]=8,VLOOKUP(Table1[[#This Row],[Item_Rehab_WL]],[1]!Table2[#All],11,FALSE),0)</f>
        <v>0</v>
      </c>
      <c r="BG113" s="25">
        <f>IF(Table1[[#This Row],[Adjusted_ULife_HP]]=8,VLOOKUP(Table1[[#This Row],[Item_Handpump]],[1]!Table2[#All],11,FALSE),0)</f>
        <v>0</v>
      </c>
      <c r="BH113" s="25">
        <f>IF(Table1[[#This Row],[Adjusted_ULife_PF]]=8,VLOOKUP(Table1[[#This Row],[Item_Platform]],[1]!Table2[#All],11,FALSE),0)</f>
        <v>0</v>
      </c>
      <c r="BI113" s="25">
        <f>SUM(Table1[[#This Row],[yr 8_wl]:[yr 8_pf]])</f>
        <v>0</v>
      </c>
      <c r="BJ113" s="25">
        <f>IF(Table1[[#This Row],[Years_Next_Rehab_Well]]=9,VLOOKUP(Table1[[#This Row],[Item_Rehab_WL]],[1]!Table2[#All],12,FALSE),0)</f>
        <v>0</v>
      </c>
      <c r="BK113" s="25">
        <f>IF(Table1[[#This Row],[Adjusted_ULife_HP]]=9,VLOOKUP(Table1[[#This Row],[Item_Handpump]],[1]!Table2[#All],12,FALSE),0)</f>
        <v>0</v>
      </c>
      <c r="BL113" s="25">
        <f>IF(Table1[[#This Row],[Adjusted_ULife_PF]]=9,VLOOKUP(Table1[[#This Row],[Item_Platform]],[1]!Table2[#All],12,FALSE),0)</f>
        <v>4159.6181361752842</v>
      </c>
      <c r="BM113" s="25">
        <f>SUM(Table1[[#This Row],[yr 9_wl]:[yr 9_pf]])</f>
        <v>4159.6181361752842</v>
      </c>
      <c r="BN113" s="25">
        <f>IF(Table1[[#This Row],[Years_Next_Rehab_Well]]=10,VLOOKUP(Table1[[#This Row],[Item_Rehab_WL]],[1]!Table2[#All],13,FALSE),0)</f>
        <v>11388.110097262112</v>
      </c>
      <c r="BO113" s="25">
        <f>IF(Table1[[#This Row],[Adjusted_ULife_HP]]=10,VLOOKUP(Table1[[#This Row],[Item_Handpump]],[1]!Table2[#All],13,FALSE),0)</f>
        <v>0</v>
      </c>
      <c r="BP113" s="25">
        <f>IF(Table1[[#This Row],[Adjusted_ULife_PF]]=10,VLOOKUP(Table1[[#This Row],[Item_Platform]],[1]!Table2[#All],13,FALSE),0)</f>
        <v>0</v>
      </c>
      <c r="BQ113" s="25">
        <f>SUM(Table1[[#This Row],[yr 10_wl]:[yr 10_pf]])</f>
        <v>11388.110097262112</v>
      </c>
      <c r="BR113" s="25">
        <f>IF(Table1[[#This Row],[Years_Next_Rehab_Well]]=11,VLOOKUP(Table1[[#This Row],[Item_Rehab_WL]],[1]!Table2[#All],14,FALSE),0)</f>
        <v>0</v>
      </c>
      <c r="BS113" s="25">
        <f>IF(Table1[[#This Row],[Adjusted_ULife_HP]]=11,VLOOKUP(Table1[[#This Row],[Item_Handpump]],[1]!Table2[#All],14,FALSE),0)</f>
        <v>0</v>
      </c>
      <c r="BT113" s="25">
        <f>IF(Table1[[#This Row],[Adjusted_ULife_PF]]=11,VLOOKUP(Table1[[#This Row],[Item_Platform]],[1]!Table2[#All],14,FALSE),0)</f>
        <v>0</v>
      </c>
      <c r="BU113" s="25">
        <f>SUM(Table1[[#This Row],[yr 11_wl]:[yr 11_pf]])</f>
        <v>0</v>
      </c>
      <c r="BV113" s="25">
        <f>IF(Table1[[#This Row],[Years_Next_Rehab_Well]]=12,VLOOKUP(Table1[[#This Row],[Item_Rehab_WL]],[1]!Table2[#All],15,FALSE),0)</f>
        <v>0</v>
      </c>
      <c r="BW113" s="25">
        <f>IF(Table1[[#This Row],[Adjusted_ULife_HP]]=12,VLOOKUP(Table1[[#This Row],[Item_Handpump]],[1]!Table2[#All],15,FALSE),0)</f>
        <v>0</v>
      </c>
      <c r="BX113" s="25">
        <f>IF(Table1[[#This Row],[Adjusted_ULife_PF]]=12,VLOOKUP(Table1[[#This Row],[Item_Platform]],[1]!Table2[#All],15,FALSE),0)</f>
        <v>0</v>
      </c>
      <c r="BY113" s="25">
        <f>SUM(Table1[[#This Row],[yr 12_wl]:[yr 12_pf]])</f>
        <v>0</v>
      </c>
      <c r="BZ113" s="25">
        <f>IF(Table1[[#This Row],[Years_Next_Rehab_Well]]=13,VLOOKUP(Table1[[#This Row],[Item_Rehab_WL]],[1]!Table2[#All],16,FALSE),0)</f>
        <v>0</v>
      </c>
      <c r="CA113" s="25">
        <f>IF(Table1[[#This Row],[Adjusted_ULife_HP]]=13,VLOOKUP(Table1[[#This Row],[Item_Handpump]],[1]!Table2[#All],16,FALSE),0)</f>
        <v>0</v>
      </c>
      <c r="CB113" s="25">
        <f>IF(Table1[[#This Row],[Adjusted_ULife_PF]]=13,VLOOKUP(Table1[[#This Row],[Item_Platform]],[1]!Table2[#All],16,FALSE),0)</f>
        <v>0</v>
      </c>
      <c r="CC113" s="25">
        <f>SUM(Table1[[#This Row],[yr 13_wl]:[yr 13_pf]])</f>
        <v>0</v>
      </c>
      <c r="CD113" s="12"/>
    </row>
    <row r="114" spans="1:82" s="11" customFormat="1" x14ac:dyDescent="0.25">
      <c r="A114" s="11" t="str">
        <f>IF([1]Input_monitoring_data!A110="","",[1]Input_monitoring_data!A110)</f>
        <v>k52c-0cbk-600j</v>
      </c>
      <c r="B114" s="22" t="str">
        <f>[1]Input_monitoring_data!BH110</f>
        <v>Kenyasi No.1</v>
      </c>
      <c r="C114" s="22" t="str">
        <f>[1]Input_monitoring_data!BI110</f>
        <v>Obengkrom</v>
      </c>
      <c r="D114" s="22" t="str">
        <f>[1]Input_monitoring_data!P110</f>
        <v>6.933312458285283</v>
      </c>
      <c r="E114" s="22" t="str">
        <f>[1]Input_monitoring_data!Q110</f>
        <v>-2.412342003692995</v>
      </c>
      <c r="F114" s="22" t="str">
        <f>[1]Input_monitoring_data!V110</f>
        <v>Along Donkor Kromu Road</v>
      </c>
      <c r="G114" s="23" t="str">
        <f>[1]Input_monitoring_data!U110</f>
        <v>Borehole</v>
      </c>
      <c r="H114" s="22">
        <f>[1]Input_monitoring_data!X110</f>
        <v>2012</v>
      </c>
      <c r="I114" s="21" t="str">
        <f>[1]Input_monitoring_data!AB110</f>
        <v>Borehole redevelopment</v>
      </c>
      <c r="J114" s="21">
        <f>[1]Input_monitoring_data!AC110</f>
        <v>0</v>
      </c>
      <c r="K114" s="23" t="str">
        <f>[1]Input_monitoring_data!W110</f>
        <v>AfriDev</v>
      </c>
      <c r="L114" s="22">
        <f>[1]Input_monitoring_data!X110</f>
        <v>2012</v>
      </c>
      <c r="M114" s="21">
        <f>IF([1]Input_monitoring_data!BL110&gt;'Point Sources_Asset_Register_'!L114,[1]Input_monitoring_data!BL110,"")</f>
        <v>2016</v>
      </c>
      <c r="N114" s="22" t="str">
        <f>[1]Input_monitoring_data!BQ110</f>
        <v>functional</v>
      </c>
      <c r="O114" s="22">
        <f>[1]Input_monitoring_data!AJ110</f>
        <v>0</v>
      </c>
      <c r="P114" s="23" t="s">
        <v>0</v>
      </c>
      <c r="Q114" s="22">
        <f>L114</f>
        <v>2012</v>
      </c>
      <c r="R114" s="21">
        <f>M114</f>
        <v>2016</v>
      </c>
      <c r="S114" s="20">
        <f>[1]Input_EUL_CRC_ERC!$B$17-Table1[[#This Row],[Year Installed_WL]]</f>
        <v>5</v>
      </c>
      <c r="T114" s="20">
        <f>[1]Input_EUL_CRC_ERC!$B$17-(IF(Table1[[#This Row],[Year Last_Rehab_WL ]]=0,Table1[[#This Row],[Year Installed_WL]],[1]Input_EUL_CRC_ERC!$B$17-Table1[[#This Row],[Year Last_Rehab_WL ]]))</f>
        <v>5</v>
      </c>
      <c r="U114" s="20">
        <f>(VLOOKUP(Table1[[#This Row],[Item_Rehab_WL]],[1]Input_EUL_CRC_ERC!$C$17:$E$27,2,FALSE)-Table1[[#This Row],[Last Rehab Age]])</f>
        <v>10</v>
      </c>
      <c r="V114" s="19">
        <f>[1]Input_EUL_CRC_ERC!$B$17-Table1[[#This Row],[Year Installed_HP]]</f>
        <v>5</v>
      </c>
      <c r="W114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14" s="19">
        <f>[1]Input_EUL_CRC_ERC!$B$17-Table1[[#This Row],[Year Installed_PF]]</f>
        <v>5</v>
      </c>
      <c r="Y114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14" s="25">
        <f>IF(Table1[[#This Row],[Years_Next_Rehab_Well]]&lt;=0,VLOOKUP(Table1[[#This Row],[Item_Rehab_WL]],[1]!Table2[#All],3,FALSE),0)</f>
        <v>0</v>
      </c>
      <c r="AA114" s="18">
        <f>IF(Table1[[#This Row],[Adjusted_ULife_HP]]&lt;=0,VLOOKUP(Table1[[#This Row],[Item_Handpump]],[1]!Table2[#All],3,FALSE),0)</f>
        <v>0</v>
      </c>
      <c r="AB114" s="18">
        <f>IF(Table1[[#This Row],[Adjusted_ULife_PF]]&lt;=0,VLOOKUP(Table1[[#This Row],[Item_Platform]],[1]!Table2[#All],3,FALSE),0)</f>
        <v>0</v>
      </c>
      <c r="AC114" s="18">
        <f>SUM(Table1[[#This Row],[current yr_wl]:[current yr_pf]])</f>
        <v>0</v>
      </c>
      <c r="AD114" s="25">
        <f>IF(Table1[[#This Row],[Years_Next_Rehab_Well]]=1,VLOOKUP(Table1[[#This Row],[Item_Rehab_WL]],[1]!Table2[#All],4,FALSE),0)</f>
        <v>0</v>
      </c>
      <c r="AE114" s="25">
        <f>IF(Table1[[#This Row],[Adjusted_ULife_HP]]=1,VLOOKUP(Table1[[#This Row],[Item_Handpump]],[1]!Table2[#All],4,FALSE),0)</f>
        <v>0</v>
      </c>
      <c r="AF114" s="25">
        <f>IF(Table1[[#This Row],[Adjusted_ULife_PF]]=1,VLOOKUP(Table1[[#This Row],[Item_Platform]],[1]!Table2[#All],4,FALSE),0)</f>
        <v>0</v>
      </c>
      <c r="AG114" s="25">
        <f>SUM(Table1[[#This Row],[yr 1_wl]:[yr 1_pf]])</f>
        <v>0</v>
      </c>
      <c r="AH114" s="25">
        <f>IF(Table1[[#This Row],[Years_Next_Rehab_Well]]=2,VLOOKUP(Table1[[#This Row],[Item_Rehab_WL]],[1]!Table2[#All],5,FALSE),0)</f>
        <v>0</v>
      </c>
      <c r="AI114" s="25">
        <f>IF(Table1[[#This Row],[Adjusted_ULife_HP]]=2,VLOOKUP(Table1[[#This Row],[Item_Handpump]],[1]!Table2[#All],5,FALSE),0)</f>
        <v>0</v>
      </c>
      <c r="AJ114" s="25">
        <f>IF(Table1[[#This Row],[Adjusted_ULife_PF]]=2,VLOOKUP(Table1[[#This Row],[Item_Platform]],[1]!Table2[#All],5,FALSE),0)</f>
        <v>0</v>
      </c>
      <c r="AK114" s="25">
        <f>SUM(Table1[[#This Row],[yr 2_wl]:[yr 2_pf]])</f>
        <v>0</v>
      </c>
      <c r="AL114" s="25">
        <f>IF(Table1[[#This Row],[Years_Next_Rehab_Well]]=3,VLOOKUP(Table1[[#This Row],[Item_Rehab_WL]],[1]!Table2[#All],6,FALSE),0)</f>
        <v>0</v>
      </c>
      <c r="AM114" s="25">
        <f>IF(Table1[[#This Row],[Adjusted_ULife_HP]]=3,VLOOKUP(Table1[[#This Row],[Item_Handpump]],[1]!Table2[#All],6,FALSE),0)</f>
        <v>0</v>
      </c>
      <c r="AN114" s="25">
        <f>IF(Table1[[#This Row],[Adjusted_ULife_PF]]=3,VLOOKUP(Table1[[#This Row],[Item_Platform]],[1]!Table2[#All],6,FALSE),0)</f>
        <v>0</v>
      </c>
      <c r="AO114" s="25">
        <f>SUM(Table1[[#This Row],[yr 3_wl]:[yr 3_pf]])</f>
        <v>0</v>
      </c>
      <c r="AP114" s="25">
        <f>IF(Table1[[#This Row],[Years_Next_Rehab_Well]]=4,VLOOKUP(Table1[[#This Row],[Item_Rehab_WL]],[1]!Table2[#All],7,FALSE),0)</f>
        <v>0</v>
      </c>
      <c r="AQ114" s="25">
        <f>IF(Table1[[#This Row],[Adjusted_ULife_HP]]=4,VLOOKUP(Table1[[#This Row],[Item_Handpump]],[1]!Table2[#All],7,FALSE),0)</f>
        <v>0</v>
      </c>
      <c r="AR114" s="25">
        <f>IF(Table1[[#This Row],[Adjusted_ULife_PF]]=4,VLOOKUP(Table1[[#This Row],[Item_Platform]],[1]!Table2[#All],7,FALSE),0)</f>
        <v>0</v>
      </c>
      <c r="AS114" s="25">
        <f>SUM(Table1[[#This Row],[yr 4_wl]:[yr 4_pf]])</f>
        <v>0</v>
      </c>
      <c r="AT114" s="25">
        <f>IF(Table1[[#This Row],[Years_Next_Rehab_Well]]=5,VLOOKUP(Table1[[#This Row],[Item_Rehab_WL]],[1]!Table2[#All],8,FALSE),0)</f>
        <v>0</v>
      </c>
      <c r="AU114" s="25">
        <f>IF(Table1[[#This Row],[Adjusted_ULife_HP]]=5,VLOOKUP(Table1[[#This Row],[Item_Handpump]],[1]!Table2[#All],8,FALSE),0)</f>
        <v>0</v>
      </c>
      <c r="AV114" s="25">
        <f>IF(Table1[[#This Row],[Adjusted_ULife_PF]]=5,VLOOKUP(Table1[[#This Row],[Item_Platform]],[1]!Table2[#All],8,FALSE),0)</f>
        <v>0</v>
      </c>
      <c r="AW114" s="25">
        <f>SUM(Table1[[#This Row],[yr 5_wl]:[yr 5_pf]])</f>
        <v>0</v>
      </c>
      <c r="AX114" s="25">
        <f>IF(Table1[[#This Row],[Years_Next_Rehab_Well]]=6,VLOOKUP(Table1[[#This Row],[Item_Rehab_WL]],[1]!Table2[#All],9,FALSE),0)</f>
        <v>0</v>
      </c>
      <c r="AY114" s="25">
        <f>IF(Table1[[#This Row],[Adjusted_ULife_HP]]=6,VLOOKUP(Table1[[#This Row],[Item_Handpump]],[1]!Table2[#All],9,FALSE),0)</f>
        <v>0</v>
      </c>
      <c r="AZ114" s="25">
        <f>IF(Table1[[#This Row],[Adjusted_ULife_PF]]=6,VLOOKUP(Table1[[#This Row],[Item_Platform]],[1]!Table2[#All],9,FALSE),0)</f>
        <v>0</v>
      </c>
      <c r="BA114" s="25">
        <f>SUM(Table1[[#This Row],[yr 6_wl]:[yr 6_pf]])</f>
        <v>0</v>
      </c>
      <c r="BB114" s="25">
        <f>IF(Table1[[#This Row],[Years_Next_Rehab_Well]]=7,VLOOKUP(Table1[[#This Row],[Item_Rehab_WL]],[1]!Table2[#All],10,FALSE),0)</f>
        <v>0</v>
      </c>
      <c r="BC114" s="25">
        <f>IF(Table1[[#This Row],[Adjusted_ULife_HP]]=7,VLOOKUP(Table1[[#This Row],[Item_Handpump]],[1]!Table2[#All],10,FALSE),0)</f>
        <v>0</v>
      </c>
      <c r="BD114" s="25">
        <f>IF(Table1[[#This Row],[Adjusted_ULife_PF]]=7,VLOOKUP(Table1[[#This Row],[Item_Platform]],[1]!Table2[#All],10,FALSE),0)</f>
        <v>0</v>
      </c>
      <c r="BE114" s="25">
        <f>SUM(Table1[[#This Row],[yr 7_wl]:[yr 7_pf]])</f>
        <v>0</v>
      </c>
      <c r="BF114" s="25">
        <f>IF(Table1[[#This Row],[Years_Next_Rehab_Well]]=8,VLOOKUP(Table1[[#This Row],[Item_Rehab_WL]],[1]!Table2[#All],11,FALSE),0)</f>
        <v>0</v>
      </c>
      <c r="BG114" s="25">
        <f>IF(Table1[[#This Row],[Adjusted_ULife_HP]]=8,VLOOKUP(Table1[[#This Row],[Item_Handpump]],[1]!Table2[#All],11,FALSE),0)</f>
        <v>0</v>
      </c>
      <c r="BH114" s="25">
        <f>IF(Table1[[#This Row],[Adjusted_ULife_PF]]=8,VLOOKUP(Table1[[#This Row],[Item_Platform]],[1]!Table2[#All],11,FALSE),0)</f>
        <v>0</v>
      </c>
      <c r="BI114" s="25">
        <f>SUM(Table1[[#This Row],[yr 8_wl]:[yr 8_pf]])</f>
        <v>0</v>
      </c>
      <c r="BJ114" s="25">
        <f>IF(Table1[[#This Row],[Years_Next_Rehab_Well]]=9,VLOOKUP(Table1[[#This Row],[Item_Rehab_WL]],[1]!Table2[#All],12,FALSE),0)</f>
        <v>0</v>
      </c>
      <c r="BK114" s="25">
        <f>IF(Table1[[#This Row],[Adjusted_ULife_HP]]=9,VLOOKUP(Table1[[#This Row],[Item_Handpump]],[1]!Table2[#All],12,FALSE),0)</f>
        <v>0</v>
      </c>
      <c r="BL114" s="25">
        <f>IF(Table1[[#This Row],[Adjusted_ULife_PF]]=9,VLOOKUP(Table1[[#This Row],[Item_Platform]],[1]!Table2[#All],12,FALSE),0)</f>
        <v>4159.6181361752842</v>
      </c>
      <c r="BM114" s="25">
        <f>SUM(Table1[[#This Row],[yr 9_wl]:[yr 9_pf]])</f>
        <v>4159.6181361752842</v>
      </c>
      <c r="BN114" s="25">
        <f>IF(Table1[[#This Row],[Years_Next_Rehab_Well]]=10,VLOOKUP(Table1[[#This Row],[Item_Rehab_WL]],[1]!Table2[#All],13,FALSE),0)</f>
        <v>11388.110097262112</v>
      </c>
      <c r="BO114" s="25">
        <f>IF(Table1[[#This Row],[Adjusted_ULife_HP]]=10,VLOOKUP(Table1[[#This Row],[Item_Handpump]],[1]!Table2[#All],13,FALSE),0)</f>
        <v>0</v>
      </c>
      <c r="BP114" s="25">
        <f>IF(Table1[[#This Row],[Adjusted_ULife_PF]]=10,VLOOKUP(Table1[[#This Row],[Item_Platform]],[1]!Table2[#All],13,FALSE),0)</f>
        <v>0</v>
      </c>
      <c r="BQ114" s="25">
        <f>SUM(Table1[[#This Row],[yr 10_wl]:[yr 10_pf]])</f>
        <v>11388.110097262112</v>
      </c>
      <c r="BR114" s="25">
        <f>IF(Table1[[#This Row],[Years_Next_Rehab_Well]]=11,VLOOKUP(Table1[[#This Row],[Item_Rehab_WL]],[1]!Table2[#All],14,FALSE),0)</f>
        <v>0</v>
      </c>
      <c r="BS114" s="25">
        <f>IF(Table1[[#This Row],[Adjusted_ULife_HP]]=11,VLOOKUP(Table1[[#This Row],[Item_Handpump]],[1]!Table2[#All],14,FALSE),0)</f>
        <v>0</v>
      </c>
      <c r="BT114" s="25">
        <f>IF(Table1[[#This Row],[Adjusted_ULife_PF]]=11,VLOOKUP(Table1[[#This Row],[Item_Platform]],[1]!Table2[#All],14,FALSE),0)</f>
        <v>0</v>
      </c>
      <c r="BU114" s="25">
        <f>SUM(Table1[[#This Row],[yr 11_wl]:[yr 11_pf]])</f>
        <v>0</v>
      </c>
      <c r="BV114" s="25">
        <f>IF(Table1[[#This Row],[Years_Next_Rehab_Well]]=12,VLOOKUP(Table1[[#This Row],[Item_Rehab_WL]],[1]!Table2[#All],15,FALSE),0)</f>
        <v>0</v>
      </c>
      <c r="BW114" s="25">
        <f>IF(Table1[[#This Row],[Adjusted_ULife_HP]]=12,VLOOKUP(Table1[[#This Row],[Item_Handpump]],[1]!Table2[#All],15,FALSE),0)</f>
        <v>0</v>
      </c>
      <c r="BX114" s="25">
        <f>IF(Table1[[#This Row],[Adjusted_ULife_PF]]=12,VLOOKUP(Table1[[#This Row],[Item_Platform]],[1]!Table2[#All],15,FALSE),0)</f>
        <v>0</v>
      </c>
      <c r="BY114" s="25">
        <f>SUM(Table1[[#This Row],[yr 12_wl]:[yr 12_pf]])</f>
        <v>0</v>
      </c>
      <c r="BZ114" s="25">
        <f>IF(Table1[[#This Row],[Years_Next_Rehab_Well]]=13,VLOOKUP(Table1[[#This Row],[Item_Rehab_WL]],[1]!Table2[#All],16,FALSE),0)</f>
        <v>0</v>
      </c>
      <c r="CA114" s="25">
        <f>IF(Table1[[#This Row],[Adjusted_ULife_HP]]=13,VLOOKUP(Table1[[#This Row],[Item_Handpump]],[1]!Table2[#All],16,FALSE),0)</f>
        <v>0</v>
      </c>
      <c r="CB114" s="25">
        <f>IF(Table1[[#This Row],[Adjusted_ULife_PF]]=13,VLOOKUP(Table1[[#This Row],[Item_Platform]],[1]!Table2[#All],16,FALSE),0)</f>
        <v>0</v>
      </c>
      <c r="CC114" s="25">
        <f>SUM(Table1[[#This Row],[yr 13_wl]:[yr 13_pf]])</f>
        <v>0</v>
      </c>
      <c r="CD114" s="12"/>
    </row>
    <row r="115" spans="1:82" s="11" customFormat="1" x14ac:dyDescent="0.25">
      <c r="A115" s="11" t="str">
        <f>IF([1]Input_monitoring_data!A111="","",[1]Input_monitoring_data!A111)</f>
        <v>k79n-2taj-x2x0</v>
      </c>
      <c r="B115" s="22" t="str">
        <f>[1]Input_monitoring_data!BH111</f>
        <v>Gambia</v>
      </c>
      <c r="C115" s="22" t="str">
        <f>[1]Input_monitoring_data!BI111</f>
        <v>Anwona</v>
      </c>
      <c r="D115" s="22" t="str">
        <f>[1]Input_monitoring_data!P111</f>
        <v>7.04373631853741</v>
      </c>
      <c r="E115" s="22" t="str">
        <f>[1]Input_monitoring_data!Q111</f>
        <v>-2.7377461552713913</v>
      </c>
      <c r="F115" s="22" t="str">
        <f>[1]Input_monitoring_data!V111</f>
        <v>Along Kwabena Afo Road</v>
      </c>
      <c r="G115" s="23" t="str">
        <f>[1]Input_monitoring_data!U111</f>
        <v>Hand dug well</v>
      </c>
      <c r="H115" s="22">
        <f>[1]Input_monitoring_data!X111</f>
        <v>2004</v>
      </c>
      <c r="I115" s="21" t="str">
        <f>[1]Input_monitoring_data!AB111</f>
        <v>Borehole redevelopment</v>
      </c>
      <c r="J115" s="21">
        <f>[1]Input_monitoring_data!AC111</f>
        <v>0</v>
      </c>
      <c r="K115" s="23" t="str">
        <f>[1]Input_monitoring_data!W111</f>
        <v>AfriDev</v>
      </c>
      <c r="L115" s="22">
        <f>[1]Input_monitoring_data!X111</f>
        <v>2004</v>
      </c>
      <c r="M115" s="21" t="str">
        <f>IF([1]Input_monitoring_data!BL111&gt;'Point Sources_Asset_Register_'!L115,[1]Input_monitoring_data!BL111,"")</f>
        <v/>
      </c>
      <c r="N115" s="22" t="str">
        <f>[1]Input_monitoring_data!BQ111</f>
        <v>partially functional</v>
      </c>
      <c r="O115" s="22">
        <f>[1]Input_monitoring_data!AJ111</f>
        <v>0</v>
      </c>
      <c r="P115" s="23" t="s">
        <v>0</v>
      </c>
      <c r="Q115" s="22">
        <f>L115</f>
        <v>2004</v>
      </c>
      <c r="R115" s="21" t="str">
        <f>M115</f>
        <v/>
      </c>
      <c r="S115" s="20">
        <f>[1]Input_EUL_CRC_ERC!$B$17-Table1[[#This Row],[Year Installed_WL]]</f>
        <v>13</v>
      </c>
      <c r="T115" s="20">
        <f>[1]Input_EUL_CRC_ERC!$B$17-(IF(Table1[[#This Row],[Year Last_Rehab_WL ]]=0,Table1[[#This Row],[Year Installed_WL]],[1]Input_EUL_CRC_ERC!$B$17-Table1[[#This Row],[Year Last_Rehab_WL ]]))</f>
        <v>13</v>
      </c>
      <c r="U115" s="20">
        <f>(VLOOKUP(Table1[[#This Row],[Item_Rehab_WL]],[1]Input_EUL_CRC_ERC!$C$17:$E$27,2,FALSE)-Table1[[#This Row],[Last Rehab Age]])</f>
        <v>2</v>
      </c>
      <c r="V115" s="19">
        <f>[1]Input_EUL_CRC_ERC!$B$17-Table1[[#This Row],[Year Installed_HP]]</f>
        <v>13</v>
      </c>
      <c r="W115" s="19">
        <f>(VLOOKUP(Table1[[#This Row],[Item_Handpump]],[1]!Table2[#All],2,FALSE))-(IF(Table1[[#This Row],[Year Last_Rehab_HP]]="",Table1[[#This Row],[Current Age_Handpump]],[1]Input_EUL_CRC_ERC!$B$17-Table1[[#This Row],[Year Last_Rehab_HP]]))</f>
        <v>7</v>
      </c>
      <c r="X115" s="19">
        <f>[1]Input_EUL_CRC_ERC!$B$17-Table1[[#This Row],[Year Installed_PF]]</f>
        <v>13</v>
      </c>
      <c r="Y115" s="19">
        <f>(VLOOKUP(Table1[[#This Row],[Item_Platform]],[1]!Table2[#All],2,FALSE))-(IF(Table1[[#This Row],[Year Last_Rehab_PF]]="",Table1[[#This Row],[Current Age_Platform]],[1]Input_EUL_CRC_ERC!$B$17-Table1[[#This Row],[Year Last_Rehab_PF]]))</f>
        <v>-3</v>
      </c>
      <c r="Z115" s="25">
        <f>IF(Table1[[#This Row],[Years_Next_Rehab_Well]]&lt;=0,VLOOKUP(Table1[[#This Row],[Item_Rehab_WL]],[1]!Table2[#All],3,FALSE),0)</f>
        <v>0</v>
      </c>
      <c r="AA115" s="18">
        <f>IF(Table1[[#This Row],[Adjusted_ULife_HP]]&lt;=0,VLOOKUP(Table1[[#This Row],[Item_Handpump]],[1]!Table2[#All],3,FALSE),0)</f>
        <v>0</v>
      </c>
      <c r="AB115" s="18">
        <f>IF(Table1[[#This Row],[Adjusted_ULife_PF]]&lt;=0,VLOOKUP(Table1[[#This Row],[Item_Platform]],[1]!Table2[#All],3,FALSE),0)</f>
        <v>1500</v>
      </c>
      <c r="AC115" s="18">
        <f>SUM(Table1[[#This Row],[current yr_wl]:[current yr_pf]])</f>
        <v>1500</v>
      </c>
      <c r="AD115" s="25">
        <f>IF(Table1[[#This Row],[Years_Next_Rehab_Well]]=1,VLOOKUP(Table1[[#This Row],[Item_Rehab_WL]],[1]!Table2[#All],4,FALSE),0)</f>
        <v>0</v>
      </c>
      <c r="AE115" s="25">
        <f>IF(Table1[[#This Row],[Adjusted_ULife_HP]]=1,VLOOKUP(Table1[[#This Row],[Item_Handpump]],[1]!Table2[#All],4,FALSE),0)</f>
        <v>0</v>
      </c>
      <c r="AF115" s="25">
        <f>IF(Table1[[#This Row],[Adjusted_ULife_PF]]=1,VLOOKUP(Table1[[#This Row],[Item_Platform]],[1]!Table2[#All],4,FALSE),0)</f>
        <v>0</v>
      </c>
      <c r="AG115" s="25">
        <f>SUM(Table1[[#This Row],[yr 1_wl]:[yr 1_pf]])</f>
        <v>0</v>
      </c>
      <c r="AH115" s="25">
        <f>IF(Table1[[#This Row],[Years_Next_Rehab_Well]]=2,VLOOKUP(Table1[[#This Row],[Item_Rehab_WL]],[1]!Table2[#All],5,FALSE),0)</f>
        <v>4599.4666666666672</v>
      </c>
      <c r="AI115" s="25">
        <f>IF(Table1[[#This Row],[Adjusted_ULife_HP]]=2,VLOOKUP(Table1[[#This Row],[Item_Handpump]],[1]!Table2[#All],5,FALSE),0)</f>
        <v>0</v>
      </c>
      <c r="AJ115" s="25">
        <f>IF(Table1[[#This Row],[Adjusted_ULife_PF]]=2,VLOOKUP(Table1[[#This Row],[Item_Platform]],[1]!Table2[#All],5,FALSE),0)</f>
        <v>0</v>
      </c>
      <c r="AK115" s="25">
        <f>SUM(Table1[[#This Row],[yr 2_wl]:[yr 2_pf]])</f>
        <v>4599.4666666666672</v>
      </c>
      <c r="AL115" s="25">
        <f>IF(Table1[[#This Row],[Years_Next_Rehab_Well]]=3,VLOOKUP(Table1[[#This Row],[Item_Rehab_WL]],[1]!Table2[#All],6,FALSE),0)</f>
        <v>0</v>
      </c>
      <c r="AM115" s="25">
        <f>IF(Table1[[#This Row],[Adjusted_ULife_HP]]=3,VLOOKUP(Table1[[#This Row],[Item_Handpump]],[1]!Table2[#All],6,FALSE),0)</f>
        <v>0</v>
      </c>
      <c r="AN115" s="25">
        <f>IF(Table1[[#This Row],[Adjusted_ULife_PF]]=3,VLOOKUP(Table1[[#This Row],[Item_Platform]],[1]!Table2[#All],6,FALSE),0)</f>
        <v>0</v>
      </c>
      <c r="AO115" s="25">
        <f>SUM(Table1[[#This Row],[yr 3_wl]:[yr 3_pf]])</f>
        <v>0</v>
      </c>
      <c r="AP115" s="25">
        <f>IF(Table1[[#This Row],[Years_Next_Rehab_Well]]=4,VLOOKUP(Table1[[#This Row],[Item_Rehab_WL]],[1]!Table2[#All],7,FALSE),0)</f>
        <v>0</v>
      </c>
      <c r="AQ115" s="25">
        <f>IF(Table1[[#This Row],[Adjusted_ULife_HP]]=4,VLOOKUP(Table1[[#This Row],[Item_Handpump]],[1]!Table2[#All],7,FALSE),0)</f>
        <v>0</v>
      </c>
      <c r="AR115" s="25">
        <f>IF(Table1[[#This Row],[Adjusted_ULife_PF]]=4,VLOOKUP(Table1[[#This Row],[Item_Platform]],[1]!Table2[#All],7,FALSE),0)</f>
        <v>0</v>
      </c>
      <c r="AS115" s="25">
        <f>SUM(Table1[[#This Row],[yr 4_wl]:[yr 4_pf]])</f>
        <v>0</v>
      </c>
      <c r="AT115" s="25">
        <f>IF(Table1[[#This Row],[Years_Next_Rehab_Well]]=5,VLOOKUP(Table1[[#This Row],[Item_Rehab_WL]],[1]!Table2[#All],8,FALSE),0)</f>
        <v>0</v>
      </c>
      <c r="AU115" s="25">
        <f>IF(Table1[[#This Row],[Adjusted_ULife_HP]]=5,VLOOKUP(Table1[[#This Row],[Item_Handpump]],[1]!Table2[#All],8,FALSE),0)</f>
        <v>0</v>
      </c>
      <c r="AV115" s="25">
        <f>IF(Table1[[#This Row],[Adjusted_ULife_PF]]=5,VLOOKUP(Table1[[#This Row],[Item_Platform]],[1]!Table2[#All],8,FALSE),0)</f>
        <v>0</v>
      </c>
      <c r="AW115" s="25">
        <f>SUM(Table1[[#This Row],[yr 5_wl]:[yr 5_pf]])</f>
        <v>0</v>
      </c>
      <c r="AX115" s="25">
        <f>IF(Table1[[#This Row],[Years_Next_Rehab_Well]]=6,VLOOKUP(Table1[[#This Row],[Item_Rehab_WL]],[1]!Table2[#All],9,FALSE),0)</f>
        <v>0</v>
      </c>
      <c r="AY115" s="25">
        <f>IF(Table1[[#This Row],[Adjusted_ULife_HP]]=6,VLOOKUP(Table1[[#This Row],[Item_Handpump]],[1]!Table2[#All],9,FALSE),0)</f>
        <v>0</v>
      </c>
      <c r="AZ115" s="25">
        <f>IF(Table1[[#This Row],[Adjusted_ULife_PF]]=6,VLOOKUP(Table1[[#This Row],[Item_Platform]],[1]!Table2[#All],9,FALSE),0)</f>
        <v>0</v>
      </c>
      <c r="BA115" s="25">
        <f>SUM(Table1[[#This Row],[yr 6_wl]:[yr 6_pf]])</f>
        <v>0</v>
      </c>
      <c r="BB115" s="25">
        <f>IF(Table1[[#This Row],[Years_Next_Rehab_Well]]=7,VLOOKUP(Table1[[#This Row],[Item_Rehab_WL]],[1]!Table2[#All],10,FALSE),0)</f>
        <v>0</v>
      </c>
      <c r="BC115" s="25">
        <f>IF(Table1[[#This Row],[Adjusted_ULife_HP]]=7,VLOOKUP(Table1[[#This Row],[Item_Handpump]],[1]!Table2[#All],10,FALSE),0)</f>
        <v>884.2725629624324</v>
      </c>
      <c r="BD115" s="25">
        <f>IF(Table1[[#This Row],[Adjusted_ULife_PF]]=7,VLOOKUP(Table1[[#This Row],[Item_Platform]],[1]!Table2[#All],10,FALSE),0)</f>
        <v>0</v>
      </c>
      <c r="BE115" s="25">
        <f>SUM(Table1[[#This Row],[yr 7_wl]:[yr 7_pf]])</f>
        <v>884.2725629624324</v>
      </c>
      <c r="BF115" s="25">
        <f>IF(Table1[[#This Row],[Years_Next_Rehab_Well]]=8,VLOOKUP(Table1[[#This Row],[Item_Rehab_WL]],[1]!Table2[#All],11,FALSE),0)</f>
        <v>0</v>
      </c>
      <c r="BG115" s="25">
        <f>IF(Table1[[#This Row],[Adjusted_ULife_HP]]=8,VLOOKUP(Table1[[#This Row],[Item_Handpump]],[1]!Table2[#All],11,FALSE),0)</f>
        <v>0</v>
      </c>
      <c r="BH115" s="25">
        <f>IF(Table1[[#This Row],[Adjusted_ULife_PF]]=8,VLOOKUP(Table1[[#This Row],[Item_Platform]],[1]!Table2[#All],11,FALSE),0)</f>
        <v>0</v>
      </c>
      <c r="BI115" s="25">
        <f>SUM(Table1[[#This Row],[yr 8_wl]:[yr 8_pf]])</f>
        <v>0</v>
      </c>
      <c r="BJ115" s="25">
        <f>IF(Table1[[#This Row],[Years_Next_Rehab_Well]]=9,VLOOKUP(Table1[[#This Row],[Item_Rehab_WL]],[1]!Table2[#All],12,FALSE),0)</f>
        <v>0</v>
      </c>
      <c r="BK115" s="25">
        <f>IF(Table1[[#This Row],[Adjusted_ULife_HP]]=9,VLOOKUP(Table1[[#This Row],[Item_Handpump]],[1]!Table2[#All],12,FALSE),0)</f>
        <v>0</v>
      </c>
      <c r="BL115" s="25">
        <f>IF(Table1[[#This Row],[Adjusted_ULife_PF]]=9,VLOOKUP(Table1[[#This Row],[Item_Platform]],[1]!Table2[#All],12,FALSE),0)</f>
        <v>0</v>
      </c>
      <c r="BM115" s="25">
        <f>SUM(Table1[[#This Row],[yr 9_wl]:[yr 9_pf]])</f>
        <v>0</v>
      </c>
      <c r="BN115" s="25">
        <f>IF(Table1[[#This Row],[Years_Next_Rehab_Well]]=10,VLOOKUP(Table1[[#This Row],[Item_Rehab_WL]],[1]!Table2[#All],13,FALSE),0)</f>
        <v>0</v>
      </c>
      <c r="BO115" s="25">
        <f>IF(Table1[[#This Row],[Adjusted_ULife_HP]]=10,VLOOKUP(Table1[[#This Row],[Item_Handpump]],[1]!Table2[#All],13,FALSE),0)</f>
        <v>0</v>
      </c>
      <c r="BP115" s="25">
        <f>IF(Table1[[#This Row],[Adjusted_ULife_PF]]=10,VLOOKUP(Table1[[#This Row],[Item_Platform]],[1]!Table2[#All],13,FALSE),0)</f>
        <v>0</v>
      </c>
      <c r="BQ115" s="25">
        <f>SUM(Table1[[#This Row],[yr 10_wl]:[yr 10_pf]])</f>
        <v>0</v>
      </c>
      <c r="BR115" s="25">
        <f>IF(Table1[[#This Row],[Years_Next_Rehab_Well]]=11,VLOOKUP(Table1[[#This Row],[Item_Rehab_WL]],[1]!Table2[#All],14,FALSE),0)</f>
        <v>0</v>
      </c>
      <c r="BS115" s="25">
        <f>IF(Table1[[#This Row],[Adjusted_ULife_HP]]=11,VLOOKUP(Table1[[#This Row],[Item_Handpump]],[1]!Table2[#All],14,FALSE),0)</f>
        <v>0</v>
      </c>
      <c r="BT115" s="25">
        <f>IF(Table1[[#This Row],[Adjusted_ULife_PF]]=11,VLOOKUP(Table1[[#This Row],[Item_Platform]],[1]!Table2[#All],14,FALSE),0)</f>
        <v>0</v>
      </c>
      <c r="BU115" s="25">
        <f>SUM(Table1[[#This Row],[yr 11_wl]:[yr 11_pf]])</f>
        <v>0</v>
      </c>
      <c r="BV115" s="25">
        <f>IF(Table1[[#This Row],[Years_Next_Rehab_Well]]=12,VLOOKUP(Table1[[#This Row],[Item_Rehab_WL]],[1]!Table2[#All],15,FALSE),0)</f>
        <v>0</v>
      </c>
      <c r="BW115" s="25">
        <f>IF(Table1[[#This Row],[Adjusted_ULife_HP]]=12,VLOOKUP(Table1[[#This Row],[Item_Handpump]],[1]!Table2[#All],15,FALSE),0)</f>
        <v>0</v>
      </c>
      <c r="BX115" s="25">
        <f>IF(Table1[[#This Row],[Adjusted_ULife_PF]]=12,VLOOKUP(Table1[[#This Row],[Item_Platform]],[1]!Table2[#All],15,FALSE),0)</f>
        <v>0</v>
      </c>
      <c r="BY115" s="25">
        <f>SUM(Table1[[#This Row],[yr 12_wl]:[yr 12_pf]])</f>
        <v>0</v>
      </c>
      <c r="BZ115" s="25">
        <f>IF(Table1[[#This Row],[Years_Next_Rehab_Well]]=13,VLOOKUP(Table1[[#This Row],[Item_Rehab_WL]],[1]!Table2[#All],16,FALSE),0)</f>
        <v>0</v>
      </c>
      <c r="CA115" s="25">
        <f>IF(Table1[[#This Row],[Adjusted_ULife_HP]]=13,VLOOKUP(Table1[[#This Row],[Item_Handpump]],[1]!Table2[#All],16,FALSE),0)</f>
        <v>0</v>
      </c>
      <c r="CB115" s="25">
        <f>IF(Table1[[#This Row],[Adjusted_ULife_PF]]=13,VLOOKUP(Table1[[#This Row],[Item_Platform]],[1]!Table2[#All],16,FALSE),0)</f>
        <v>0</v>
      </c>
      <c r="CC115" s="25">
        <f>SUM(Table1[[#This Row],[yr 13_wl]:[yr 13_pf]])</f>
        <v>0</v>
      </c>
      <c r="CD115" s="12"/>
    </row>
    <row r="116" spans="1:82" s="11" customFormat="1" x14ac:dyDescent="0.25">
      <c r="A116" s="11" t="str">
        <f>IF([1]Input_monitoring_data!A112="","",[1]Input_monitoring_data!A112)</f>
        <v>ke6a-gyh8-mbd2</v>
      </c>
      <c r="B116" s="22" t="str">
        <f>[1]Input_monitoring_data!BH112</f>
        <v>Kenyasi No.2</v>
      </c>
      <c r="C116" s="22" t="str">
        <f>[1]Input_monitoring_data!BI112</f>
        <v>Byepass</v>
      </c>
      <c r="D116" s="22" t="str">
        <f>[1]Input_monitoring_data!P112</f>
        <v>6.98552640563157</v>
      </c>
      <c r="E116" s="22" t="str">
        <f>[1]Input_monitoring_data!Q112</f>
        <v>-2.378530674102072</v>
      </c>
      <c r="F116" s="22" t="str">
        <f>[1]Input_monitoring_data!V112</f>
        <v>In The Premises Of Andy Rich Byepass</v>
      </c>
      <c r="G116" s="23" t="str">
        <f>[1]Input_monitoring_data!U112</f>
        <v>Borehole</v>
      </c>
      <c r="H116" s="22">
        <f>[1]Input_monitoring_data!X112</f>
        <v>2013</v>
      </c>
      <c r="I116" s="21" t="str">
        <f>[1]Input_monitoring_data!AB112</f>
        <v>Borehole redevelopment</v>
      </c>
      <c r="J116" s="21">
        <f>[1]Input_monitoring_data!AC112</f>
        <v>0</v>
      </c>
      <c r="K116" s="23" t="str">
        <f>[1]Input_monitoring_data!W112</f>
        <v>Solar Pump</v>
      </c>
      <c r="L116" s="22">
        <f>[1]Input_monitoring_data!X112</f>
        <v>2013</v>
      </c>
      <c r="M116" s="21">
        <f>IF([1]Input_monitoring_data!BL112&gt;'Point Sources_Asset_Register_'!L116,[1]Input_monitoring_data!BL112,"")</f>
        <v>2017</v>
      </c>
      <c r="N116" s="22" t="str">
        <f>[1]Input_monitoring_data!BQ112</f>
        <v>functional</v>
      </c>
      <c r="O116" s="22">
        <f>[1]Input_monitoring_data!AJ112</f>
        <v>0</v>
      </c>
      <c r="P116" s="23" t="s">
        <v>0</v>
      </c>
      <c r="Q116" s="22">
        <f>L116</f>
        <v>2013</v>
      </c>
      <c r="R116" s="21">
        <f>M116</f>
        <v>2017</v>
      </c>
      <c r="S116" s="20">
        <f>[1]Input_EUL_CRC_ERC!$B$17-Table1[[#This Row],[Year Installed_WL]]</f>
        <v>4</v>
      </c>
      <c r="T116" s="20">
        <f>[1]Input_EUL_CRC_ERC!$B$17-(IF(Table1[[#This Row],[Year Last_Rehab_WL ]]=0,Table1[[#This Row],[Year Installed_WL]],[1]Input_EUL_CRC_ERC!$B$17-Table1[[#This Row],[Year Last_Rehab_WL ]]))</f>
        <v>4</v>
      </c>
      <c r="U116" s="20">
        <f>(VLOOKUP(Table1[[#This Row],[Item_Rehab_WL]],[1]Input_EUL_CRC_ERC!$C$17:$E$27,2,FALSE)-Table1[[#This Row],[Last Rehab Age]])</f>
        <v>11</v>
      </c>
      <c r="V116" s="26">
        <f>[1]Input_EUL_CRC_ERC!$B$17-Table1[[#This Row],[Year Installed_HP]]</f>
        <v>4</v>
      </c>
      <c r="W116" s="26">
        <f>(VLOOKUP(Table1[[#This Row],[Item_Handpump]],[1]!Table2[#All],2,FALSE))-(IF(Table1[[#This Row],[Year Last_Rehab_HP]]="",Table1[[#This Row],[Current Age_Handpump]],[1]Input_EUL_CRC_ERC!$B$17-Table1[[#This Row],[Year Last_Rehab_HP]]))</f>
        <v>10</v>
      </c>
      <c r="X116" s="26">
        <f>[1]Input_EUL_CRC_ERC!$B$17-Table1[[#This Row],[Year Installed_PF]]</f>
        <v>4</v>
      </c>
      <c r="Y116" s="26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16" s="25">
        <f>IF(Table1[[#This Row],[Years_Next_Rehab_Well]]&lt;=0,VLOOKUP(Table1[[#This Row],[Item_Rehab_WL]],[1]!Table2[#All],3,FALSE),0)</f>
        <v>0</v>
      </c>
      <c r="AA116" s="25">
        <f>IF(Table1[[#This Row],[Adjusted_ULife_HP]]&lt;=0,VLOOKUP(Table1[[#This Row],[Item_Handpump]],[1]!Table2[#All],3,FALSE),0)</f>
        <v>0</v>
      </c>
      <c r="AB116" s="25">
        <f>IF(Table1[[#This Row],[Adjusted_ULife_PF]]&lt;=0,VLOOKUP(Table1[[#This Row],[Item_Platform]],[1]!Table2[#All],3,FALSE),0)</f>
        <v>0</v>
      </c>
      <c r="AC116" s="25">
        <f>SUM(Table1[[#This Row],[current yr_wl]:[current yr_pf]])</f>
        <v>0</v>
      </c>
      <c r="AD116" s="25">
        <f>IF(Table1[[#This Row],[Years_Next_Rehab_Well]]=1,VLOOKUP(Table1[[#This Row],[Item_Rehab_WL]],[1]!Table2[#All],4,FALSE),0)</f>
        <v>0</v>
      </c>
      <c r="AE116" s="25">
        <f>IF(Table1[[#This Row],[Adjusted_ULife_HP]]=1,VLOOKUP(Table1[[#This Row],[Item_Handpump]],[1]!Table2[#All],4,FALSE),0)</f>
        <v>0</v>
      </c>
      <c r="AF116" s="25">
        <f>IF(Table1[[#This Row],[Adjusted_ULife_PF]]=1,VLOOKUP(Table1[[#This Row],[Item_Platform]],[1]!Table2[#All],4,FALSE),0)</f>
        <v>0</v>
      </c>
      <c r="AG116" s="25">
        <f>SUM(Table1[[#This Row],[yr 1_wl]:[yr 1_pf]])</f>
        <v>0</v>
      </c>
      <c r="AH116" s="25">
        <f>IF(Table1[[#This Row],[Years_Next_Rehab_Well]]=2,VLOOKUP(Table1[[#This Row],[Item_Rehab_WL]],[1]!Table2[#All],5,FALSE),0)</f>
        <v>0</v>
      </c>
      <c r="AI116" s="25">
        <f>IF(Table1[[#This Row],[Adjusted_ULife_HP]]=2,VLOOKUP(Table1[[#This Row],[Item_Handpump]],[1]!Table2[#All],5,FALSE),0)</f>
        <v>0</v>
      </c>
      <c r="AJ116" s="25">
        <f>IF(Table1[[#This Row],[Adjusted_ULife_PF]]=2,VLOOKUP(Table1[[#This Row],[Item_Platform]],[1]!Table2[#All],5,FALSE),0)</f>
        <v>0</v>
      </c>
      <c r="AK116" s="25">
        <f>SUM(Table1[[#This Row],[yr 2_wl]:[yr 2_pf]])</f>
        <v>0</v>
      </c>
      <c r="AL116" s="25">
        <f>IF(Table1[[#This Row],[Years_Next_Rehab_Well]]=3,VLOOKUP(Table1[[#This Row],[Item_Rehab_WL]],[1]!Table2[#All],6,FALSE),0)</f>
        <v>0</v>
      </c>
      <c r="AM116" s="25">
        <f>IF(Table1[[#This Row],[Adjusted_ULife_HP]]=3,VLOOKUP(Table1[[#This Row],[Item_Handpump]],[1]!Table2[#All],6,FALSE),0)</f>
        <v>0</v>
      </c>
      <c r="AN116" s="25">
        <f>IF(Table1[[#This Row],[Adjusted_ULife_PF]]=3,VLOOKUP(Table1[[#This Row],[Item_Platform]],[1]!Table2[#All],6,FALSE),0)</f>
        <v>0</v>
      </c>
      <c r="AO116" s="25">
        <f>SUM(Table1[[#This Row],[yr 3_wl]:[yr 3_pf]])</f>
        <v>0</v>
      </c>
      <c r="AP116" s="25">
        <f>IF(Table1[[#This Row],[Years_Next_Rehab_Well]]=4,VLOOKUP(Table1[[#This Row],[Item_Rehab_WL]],[1]!Table2[#All],7,FALSE),0)</f>
        <v>0</v>
      </c>
      <c r="AQ116" s="25">
        <f>IF(Table1[[#This Row],[Adjusted_ULife_HP]]=4,VLOOKUP(Table1[[#This Row],[Item_Handpump]],[1]!Table2[#All],7,FALSE),0)</f>
        <v>0</v>
      </c>
      <c r="AR116" s="25">
        <f>IF(Table1[[#This Row],[Adjusted_ULife_PF]]=4,VLOOKUP(Table1[[#This Row],[Item_Platform]],[1]!Table2[#All],7,FALSE),0)</f>
        <v>0</v>
      </c>
      <c r="AS116" s="25">
        <f>SUM(Table1[[#This Row],[yr 4_wl]:[yr 4_pf]])</f>
        <v>0</v>
      </c>
      <c r="AT116" s="25">
        <f>IF(Table1[[#This Row],[Years_Next_Rehab_Well]]=5,VLOOKUP(Table1[[#This Row],[Item_Rehab_WL]],[1]!Table2[#All],8,FALSE),0)</f>
        <v>0</v>
      </c>
      <c r="AU116" s="25">
        <f>IF(Table1[[#This Row],[Adjusted_ULife_HP]]=5,VLOOKUP(Table1[[#This Row],[Item_Handpump]],[1]!Table2[#All],8,FALSE),0)</f>
        <v>0</v>
      </c>
      <c r="AV116" s="25">
        <f>IF(Table1[[#This Row],[Adjusted_ULife_PF]]=5,VLOOKUP(Table1[[#This Row],[Item_Platform]],[1]!Table2[#All],8,FALSE),0)</f>
        <v>0</v>
      </c>
      <c r="AW116" s="25">
        <f>SUM(Table1[[#This Row],[yr 5_wl]:[yr 5_pf]])</f>
        <v>0</v>
      </c>
      <c r="AX116" s="25">
        <f>IF(Table1[[#This Row],[Years_Next_Rehab_Well]]=6,VLOOKUP(Table1[[#This Row],[Item_Rehab_WL]],[1]!Table2[#All],9,FALSE),0)</f>
        <v>0</v>
      </c>
      <c r="AY116" s="25">
        <f>IF(Table1[[#This Row],[Adjusted_ULife_HP]]=6,VLOOKUP(Table1[[#This Row],[Item_Handpump]],[1]!Table2[#All],9,FALSE),0)</f>
        <v>0</v>
      </c>
      <c r="AZ116" s="25">
        <f>IF(Table1[[#This Row],[Adjusted_ULife_PF]]=6,VLOOKUP(Table1[[#This Row],[Item_Platform]],[1]!Table2[#All],9,FALSE),0)</f>
        <v>0</v>
      </c>
      <c r="BA116" s="25">
        <f>SUM(Table1[[#This Row],[yr 6_wl]:[yr 6_pf]])</f>
        <v>0</v>
      </c>
      <c r="BB116" s="25">
        <f>IF(Table1[[#This Row],[Years_Next_Rehab_Well]]=7,VLOOKUP(Table1[[#This Row],[Item_Rehab_WL]],[1]!Table2[#All],10,FALSE),0)</f>
        <v>0</v>
      </c>
      <c r="BC116" s="25">
        <f>IF(Table1[[#This Row],[Adjusted_ULife_HP]]=7,VLOOKUP(Table1[[#This Row],[Item_Handpump]],[1]!Table2[#All],10,FALSE),0)</f>
        <v>0</v>
      </c>
      <c r="BD116" s="25">
        <f>IF(Table1[[#This Row],[Adjusted_ULife_PF]]=7,VLOOKUP(Table1[[#This Row],[Item_Platform]],[1]!Table2[#All],10,FALSE),0)</f>
        <v>0</v>
      </c>
      <c r="BE116" s="25">
        <f>SUM(Table1[[#This Row],[yr 7_wl]:[yr 7_pf]])</f>
        <v>0</v>
      </c>
      <c r="BF116" s="25">
        <f>IF(Table1[[#This Row],[Years_Next_Rehab_Well]]=8,VLOOKUP(Table1[[#This Row],[Item_Rehab_WL]],[1]!Table2[#All],11,FALSE),0)</f>
        <v>0</v>
      </c>
      <c r="BG116" s="25">
        <f>IF(Table1[[#This Row],[Adjusted_ULife_HP]]=8,VLOOKUP(Table1[[#This Row],[Item_Handpump]],[1]!Table2[#All],11,FALSE),0)</f>
        <v>0</v>
      </c>
      <c r="BH116" s="25">
        <f>IF(Table1[[#This Row],[Adjusted_ULife_PF]]=8,VLOOKUP(Table1[[#This Row],[Item_Platform]],[1]!Table2[#All],11,FALSE),0)</f>
        <v>0</v>
      </c>
      <c r="BI116" s="25">
        <f>SUM(Table1[[#This Row],[yr 8_wl]:[yr 8_pf]])</f>
        <v>0</v>
      </c>
      <c r="BJ116" s="25">
        <f>IF(Table1[[#This Row],[Years_Next_Rehab_Well]]=9,VLOOKUP(Table1[[#This Row],[Item_Rehab_WL]],[1]!Table2[#All],12,FALSE),0)</f>
        <v>0</v>
      </c>
      <c r="BK116" s="25">
        <f>IF(Table1[[#This Row],[Adjusted_ULife_HP]]=9,VLOOKUP(Table1[[#This Row],[Item_Handpump]],[1]!Table2[#All],12,FALSE),0)</f>
        <v>0</v>
      </c>
      <c r="BL116" s="25">
        <f>IF(Table1[[#This Row],[Adjusted_ULife_PF]]=9,VLOOKUP(Table1[[#This Row],[Item_Platform]],[1]!Table2[#All],12,FALSE),0)</f>
        <v>0</v>
      </c>
      <c r="BM116" s="25">
        <f>SUM(Table1[[#This Row],[yr 9_wl]:[yr 9_pf]])</f>
        <v>0</v>
      </c>
      <c r="BN116" s="25">
        <f>IF(Table1[[#This Row],[Years_Next_Rehab_Well]]=10,VLOOKUP(Table1[[#This Row],[Item_Rehab_WL]],[1]!Table2[#All],13,FALSE),0)</f>
        <v>0</v>
      </c>
      <c r="BO116" s="25">
        <f>IF(Table1[[#This Row],[Adjusted_ULife_HP]]=10,VLOOKUP(Table1[[#This Row],[Item_Handpump]],[1]!Table2[#All],13,FALSE),0)</f>
        <v>1242.3392833376847</v>
      </c>
      <c r="BP116" s="25">
        <f>IF(Table1[[#This Row],[Adjusted_ULife_PF]]=10,VLOOKUP(Table1[[#This Row],[Item_Platform]],[1]!Table2[#All],13,FALSE),0)</f>
        <v>4658.7723125163184</v>
      </c>
      <c r="BQ116" s="25">
        <f>SUM(Table1[[#This Row],[yr 10_wl]:[yr 10_pf]])</f>
        <v>5901.1115958540031</v>
      </c>
      <c r="BR116" s="25">
        <f>IF(Table1[[#This Row],[Years_Next_Rehab_Well]]=11,VLOOKUP(Table1[[#This Row],[Item_Rehab_WL]],[1]!Table2[#All],14,FALSE),0)</f>
        <v>12754.683308933567</v>
      </c>
      <c r="BS116" s="25">
        <f>IF(Table1[[#This Row],[Adjusted_ULife_HP]]=11,VLOOKUP(Table1[[#This Row],[Item_Handpump]],[1]!Table2[#All],14,FALSE),0)</f>
        <v>0</v>
      </c>
      <c r="BT116" s="25">
        <f>IF(Table1[[#This Row],[Adjusted_ULife_PF]]=11,VLOOKUP(Table1[[#This Row],[Item_Platform]],[1]!Table2[#All],14,FALSE),0)</f>
        <v>0</v>
      </c>
      <c r="BU116" s="25">
        <f>SUM(Table1[[#This Row],[yr 11_wl]:[yr 11_pf]])</f>
        <v>12754.683308933567</v>
      </c>
      <c r="BV116" s="25">
        <f>IF(Table1[[#This Row],[Years_Next_Rehab_Well]]=12,VLOOKUP(Table1[[#This Row],[Item_Rehab_WL]],[1]!Table2[#All],15,FALSE),0)</f>
        <v>0</v>
      </c>
      <c r="BW116" s="25">
        <f>IF(Table1[[#This Row],[Adjusted_ULife_HP]]=12,VLOOKUP(Table1[[#This Row],[Item_Handpump]],[1]!Table2[#All],15,FALSE),0)</f>
        <v>0</v>
      </c>
      <c r="BX116" s="25">
        <f>IF(Table1[[#This Row],[Adjusted_ULife_PF]]=12,VLOOKUP(Table1[[#This Row],[Item_Platform]],[1]!Table2[#All],15,FALSE),0)</f>
        <v>0</v>
      </c>
      <c r="BY116" s="25">
        <f>SUM(Table1[[#This Row],[yr 12_wl]:[yr 12_pf]])</f>
        <v>0</v>
      </c>
      <c r="BZ116" s="25">
        <f>IF(Table1[[#This Row],[Years_Next_Rehab_Well]]=13,VLOOKUP(Table1[[#This Row],[Item_Rehab_WL]],[1]!Table2[#All],16,FALSE),0)</f>
        <v>0</v>
      </c>
      <c r="CA116" s="25">
        <f>IF(Table1[[#This Row],[Adjusted_ULife_HP]]=13,VLOOKUP(Table1[[#This Row],[Item_Handpump]],[1]!Table2[#All],16,FALSE),0)</f>
        <v>0</v>
      </c>
      <c r="CB116" s="25">
        <f>IF(Table1[[#This Row],[Adjusted_ULife_PF]]=13,VLOOKUP(Table1[[#This Row],[Item_Platform]],[1]!Table2[#All],16,FALSE),0)</f>
        <v>0</v>
      </c>
      <c r="CC116" s="25">
        <f>SUM(Table1[[#This Row],[yr 13_wl]:[yr 13_pf]])</f>
        <v>0</v>
      </c>
      <c r="CD116" s="12"/>
    </row>
    <row r="117" spans="1:82" s="11" customFormat="1" x14ac:dyDescent="0.25">
      <c r="A117" s="11" t="str">
        <f>IF([1]Input_monitoring_data!A113="","",[1]Input_monitoring_data!A113)</f>
        <v>kq21-0vc3-fwj8</v>
      </c>
      <c r="B117" s="22" t="str">
        <f>[1]Input_monitoring_data!BH113</f>
        <v>Ntotroso</v>
      </c>
      <c r="C117" s="22" t="str">
        <f>[1]Input_monitoring_data!BI113</f>
        <v>Osei Yawkrom</v>
      </c>
      <c r="D117" s="22" t="str">
        <f>[1]Input_monitoring_data!P113</f>
        <v>7.070779048995541</v>
      </c>
      <c r="E117" s="22" t="str">
        <f>[1]Input_monitoring_data!Q113</f>
        <v>-2.4393070118316196</v>
      </c>
      <c r="F117" s="22" t="str">
        <f>[1]Input_monitoring_data!V113</f>
        <v>Malam Yahaya's Farm</v>
      </c>
      <c r="G117" s="23" t="str">
        <f>[1]Input_monitoring_data!U113</f>
        <v>Borehole</v>
      </c>
      <c r="H117" s="22">
        <f>[1]Input_monitoring_data!X113</f>
        <v>1987</v>
      </c>
      <c r="I117" s="21" t="str">
        <f>[1]Input_monitoring_data!AB113</f>
        <v>Borehole redevelopment</v>
      </c>
      <c r="J117" s="21">
        <f>[1]Input_monitoring_data!AC113</f>
        <v>0</v>
      </c>
      <c r="K117" s="23" t="str">
        <f>[1]Input_monitoring_data!W113</f>
        <v>AfriDev</v>
      </c>
      <c r="L117" s="22">
        <f>[1]Input_monitoring_data!X113</f>
        <v>1987</v>
      </c>
      <c r="M117" s="21">
        <f>IF([1]Input_monitoring_data!BL113&gt;'Point Sources_Asset_Register_'!L117,[1]Input_monitoring_data!BL113,"")</f>
        <v>2013</v>
      </c>
      <c r="N117" s="22" t="str">
        <f>[1]Input_monitoring_data!BQ113</f>
        <v>functional</v>
      </c>
      <c r="O117" s="22" t="str">
        <f>[1]Input_monitoring_data!AJ113</f>
        <v>Handpump broken</v>
      </c>
      <c r="P117" s="23" t="s">
        <v>0</v>
      </c>
      <c r="Q117" s="22">
        <f>L117</f>
        <v>1987</v>
      </c>
      <c r="R117" s="21">
        <f>M117</f>
        <v>2013</v>
      </c>
      <c r="S117" s="20">
        <f>[1]Input_EUL_CRC_ERC!$B$17-Table1[[#This Row],[Year Installed_WL]]</f>
        <v>30</v>
      </c>
      <c r="T117" s="20">
        <f>[1]Input_EUL_CRC_ERC!$B$17-(IF(Table1[[#This Row],[Year Last_Rehab_WL ]]=0,Table1[[#This Row],[Year Installed_WL]],[1]Input_EUL_CRC_ERC!$B$17-Table1[[#This Row],[Year Last_Rehab_WL ]]))</f>
        <v>30</v>
      </c>
      <c r="U117" s="20">
        <f>(VLOOKUP(Table1[[#This Row],[Item_Rehab_WL]],[1]Input_EUL_CRC_ERC!$C$17:$E$27,2,FALSE)-Table1[[#This Row],[Last Rehab Age]])</f>
        <v>-15</v>
      </c>
      <c r="V117" s="26">
        <f>[1]Input_EUL_CRC_ERC!$B$17-Table1[[#This Row],[Year Installed_HP]]</f>
        <v>30</v>
      </c>
      <c r="W117" s="26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117" s="26">
        <f>[1]Input_EUL_CRC_ERC!$B$17-Table1[[#This Row],[Year Installed_PF]]</f>
        <v>30</v>
      </c>
      <c r="Y117" s="26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17" s="25">
        <f>IF(Table1[[#This Row],[Years_Next_Rehab_Well]]&lt;=0,VLOOKUP(Table1[[#This Row],[Item_Rehab_WL]],[1]!Table2[#All],3,FALSE),0)</f>
        <v>3666.6666666666665</v>
      </c>
      <c r="AA117" s="25">
        <f>IF(Table1[[#This Row],[Adjusted_ULife_HP]]&lt;=0,VLOOKUP(Table1[[#This Row],[Item_Handpump]],[1]!Table2[#All],3,FALSE),0)</f>
        <v>0</v>
      </c>
      <c r="AB117" s="25">
        <f>IF(Table1[[#This Row],[Adjusted_ULife_PF]]&lt;=0,VLOOKUP(Table1[[#This Row],[Item_Platform]],[1]!Table2[#All],3,FALSE),0)</f>
        <v>0</v>
      </c>
      <c r="AC117" s="25">
        <f>SUM(Table1[[#This Row],[current yr_wl]:[current yr_pf]])</f>
        <v>3666.6666666666665</v>
      </c>
      <c r="AD117" s="25">
        <f>IF(Table1[[#This Row],[Years_Next_Rehab_Well]]=1,VLOOKUP(Table1[[#This Row],[Item_Rehab_WL]],[1]!Table2[#All],4,FALSE),0)</f>
        <v>0</v>
      </c>
      <c r="AE117" s="25">
        <f>IF(Table1[[#This Row],[Adjusted_ULife_HP]]=1,VLOOKUP(Table1[[#This Row],[Item_Handpump]],[1]!Table2[#All],4,FALSE),0)</f>
        <v>0</v>
      </c>
      <c r="AF117" s="25">
        <f>IF(Table1[[#This Row],[Adjusted_ULife_PF]]=1,VLOOKUP(Table1[[#This Row],[Item_Platform]],[1]!Table2[#All],4,FALSE),0)</f>
        <v>0</v>
      </c>
      <c r="AG117" s="25">
        <f>SUM(Table1[[#This Row],[yr 1_wl]:[yr 1_pf]])</f>
        <v>0</v>
      </c>
      <c r="AH117" s="25">
        <f>IF(Table1[[#This Row],[Years_Next_Rehab_Well]]=2,VLOOKUP(Table1[[#This Row],[Item_Rehab_WL]],[1]!Table2[#All],5,FALSE),0)</f>
        <v>0</v>
      </c>
      <c r="AI117" s="25">
        <f>IF(Table1[[#This Row],[Adjusted_ULife_HP]]=2,VLOOKUP(Table1[[#This Row],[Item_Handpump]],[1]!Table2[#All],5,FALSE),0)</f>
        <v>0</v>
      </c>
      <c r="AJ117" s="25">
        <f>IF(Table1[[#This Row],[Adjusted_ULife_PF]]=2,VLOOKUP(Table1[[#This Row],[Item_Platform]],[1]!Table2[#All],5,FALSE),0)</f>
        <v>0</v>
      </c>
      <c r="AK117" s="25">
        <f>SUM(Table1[[#This Row],[yr 2_wl]:[yr 2_pf]])</f>
        <v>0</v>
      </c>
      <c r="AL117" s="25">
        <f>IF(Table1[[#This Row],[Years_Next_Rehab_Well]]=3,VLOOKUP(Table1[[#This Row],[Item_Rehab_WL]],[1]!Table2[#All],6,FALSE),0)</f>
        <v>0</v>
      </c>
      <c r="AM117" s="25">
        <f>IF(Table1[[#This Row],[Adjusted_ULife_HP]]=3,VLOOKUP(Table1[[#This Row],[Item_Handpump]],[1]!Table2[#All],6,FALSE),0)</f>
        <v>0</v>
      </c>
      <c r="AN117" s="25">
        <f>IF(Table1[[#This Row],[Adjusted_ULife_PF]]=3,VLOOKUP(Table1[[#This Row],[Item_Platform]],[1]!Table2[#All],6,FALSE),0)</f>
        <v>0</v>
      </c>
      <c r="AO117" s="25">
        <f>SUM(Table1[[#This Row],[yr 3_wl]:[yr 3_pf]])</f>
        <v>0</v>
      </c>
      <c r="AP117" s="25">
        <f>IF(Table1[[#This Row],[Years_Next_Rehab_Well]]=4,VLOOKUP(Table1[[#This Row],[Item_Rehab_WL]],[1]!Table2[#All],7,FALSE),0)</f>
        <v>0</v>
      </c>
      <c r="AQ117" s="25">
        <f>IF(Table1[[#This Row],[Adjusted_ULife_HP]]=4,VLOOKUP(Table1[[#This Row],[Item_Handpump]],[1]!Table2[#All],7,FALSE),0)</f>
        <v>0</v>
      </c>
      <c r="AR117" s="25">
        <f>IF(Table1[[#This Row],[Adjusted_ULife_PF]]=4,VLOOKUP(Table1[[#This Row],[Item_Platform]],[1]!Table2[#All],7,FALSE),0)</f>
        <v>0</v>
      </c>
      <c r="AS117" s="25">
        <f>SUM(Table1[[#This Row],[yr 4_wl]:[yr 4_pf]])</f>
        <v>0</v>
      </c>
      <c r="AT117" s="25">
        <f>IF(Table1[[#This Row],[Years_Next_Rehab_Well]]=5,VLOOKUP(Table1[[#This Row],[Item_Rehab_WL]],[1]!Table2[#All],8,FALSE),0)</f>
        <v>0</v>
      </c>
      <c r="AU117" s="25">
        <f>IF(Table1[[#This Row],[Adjusted_ULife_HP]]=5,VLOOKUP(Table1[[#This Row],[Item_Handpump]],[1]!Table2[#All],8,FALSE),0)</f>
        <v>0</v>
      </c>
      <c r="AV117" s="25">
        <f>IF(Table1[[#This Row],[Adjusted_ULife_PF]]=5,VLOOKUP(Table1[[#This Row],[Item_Platform]],[1]!Table2[#All],8,FALSE),0)</f>
        <v>0</v>
      </c>
      <c r="AW117" s="25">
        <f>SUM(Table1[[#This Row],[yr 5_wl]:[yr 5_pf]])</f>
        <v>0</v>
      </c>
      <c r="AX117" s="25">
        <f>IF(Table1[[#This Row],[Years_Next_Rehab_Well]]=6,VLOOKUP(Table1[[#This Row],[Item_Rehab_WL]],[1]!Table2[#All],9,FALSE),0)</f>
        <v>0</v>
      </c>
      <c r="AY117" s="25">
        <f>IF(Table1[[#This Row],[Adjusted_ULife_HP]]=6,VLOOKUP(Table1[[#This Row],[Item_Handpump]],[1]!Table2[#All],9,FALSE),0)</f>
        <v>0</v>
      </c>
      <c r="AZ117" s="25">
        <f>IF(Table1[[#This Row],[Adjusted_ULife_PF]]=6,VLOOKUP(Table1[[#This Row],[Item_Platform]],[1]!Table2[#All],9,FALSE),0)</f>
        <v>2960.7340277760022</v>
      </c>
      <c r="BA117" s="25">
        <f>SUM(Table1[[#This Row],[yr 6_wl]:[yr 6_pf]])</f>
        <v>2960.7340277760022</v>
      </c>
      <c r="BB117" s="25">
        <f>IF(Table1[[#This Row],[Years_Next_Rehab_Well]]=7,VLOOKUP(Table1[[#This Row],[Item_Rehab_WL]],[1]!Table2[#All],10,FALSE),0)</f>
        <v>0</v>
      </c>
      <c r="BC117" s="25">
        <f>IF(Table1[[#This Row],[Adjusted_ULife_HP]]=7,VLOOKUP(Table1[[#This Row],[Item_Handpump]],[1]!Table2[#All],10,FALSE),0)</f>
        <v>0</v>
      </c>
      <c r="BD117" s="25">
        <f>IF(Table1[[#This Row],[Adjusted_ULife_PF]]=7,VLOOKUP(Table1[[#This Row],[Item_Platform]],[1]!Table2[#All],10,FALSE),0)</f>
        <v>0</v>
      </c>
      <c r="BE117" s="25">
        <f>SUM(Table1[[#This Row],[yr 7_wl]:[yr 7_pf]])</f>
        <v>0</v>
      </c>
      <c r="BF117" s="25">
        <f>IF(Table1[[#This Row],[Years_Next_Rehab_Well]]=8,VLOOKUP(Table1[[#This Row],[Item_Rehab_WL]],[1]!Table2[#All],11,FALSE),0)</f>
        <v>0</v>
      </c>
      <c r="BG117" s="25">
        <f>IF(Table1[[#This Row],[Adjusted_ULife_HP]]=8,VLOOKUP(Table1[[#This Row],[Item_Handpump]],[1]!Table2[#All],11,FALSE),0)</f>
        <v>0</v>
      </c>
      <c r="BH117" s="25">
        <f>IF(Table1[[#This Row],[Adjusted_ULife_PF]]=8,VLOOKUP(Table1[[#This Row],[Item_Platform]],[1]!Table2[#All],11,FALSE),0)</f>
        <v>0</v>
      </c>
      <c r="BI117" s="25">
        <f>SUM(Table1[[#This Row],[yr 8_wl]:[yr 8_pf]])</f>
        <v>0</v>
      </c>
      <c r="BJ117" s="25">
        <f>IF(Table1[[#This Row],[Years_Next_Rehab_Well]]=9,VLOOKUP(Table1[[#This Row],[Item_Rehab_WL]],[1]!Table2[#All],12,FALSE),0)</f>
        <v>0</v>
      </c>
      <c r="BK117" s="25">
        <f>IF(Table1[[#This Row],[Adjusted_ULife_HP]]=9,VLOOKUP(Table1[[#This Row],[Item_Handpump]],[1]!Table2[#All],12,FALSE),0)</f>
        <v>0</v>
      </c>
      <c r="BL117" s="25">
        <f>IF(Table1[[#This Row],[Adjusted_ULife_PF]]=9,VLOOKUP(Table1[[#This Row],[Item_Platform]],[1]!Table2[#All],12,FALSE),0)</f>
        <v>0</v>
      </c>
      <c r="BM117" s="25">
        <f>SUM(Table1[[#This Row],[yr 9_wl]:[yr 9_pf]])</f>
        <v>0</v>
      </c>
      <c r="BN117" s="25">
        <f>IF(Table1[[#This Row],[Years_Next_Rehab_Well]]=10,VLOOKUP(Table1[[#This Row],[Item_Rehab_WL]],[1]!Table2[#All],13,FALSE),0)</f>
        <v>0</v>
      </c>
      <c r="BO117" s="25">
        <f>IF(Table1[[#This Row],[Adjusted_ULife_HP]]=10,VLOOKUP(Table1[[#This Row],[Item_Handpump]],[1]!Table2[#All],13,FALSE),0)</f>
        <v>0</v>
      </c>
      <c r="BP117" s="25">
        <f>IF(Table1[[#This Row],[Adjusted_ULife_PF]]=10,VLOOKUP(Table1[[#This Row],[Item_Platform]],[1]!Table2[#All],13,FALSE),0)</f>
        <v>0</v>
      </c>
      <c r="BQ117" s="25">
        <f>SUM(Table1[[#This Row],[yr 10_wl]:[yr 10_pf]])</f>
        <v>0</v>
      </c>
      <c r="BR117" s="25">
        <f>IF(Table1[[#This Row],[Years_Next_Rehab_Well]]=11,VLOOKUP(Table1[[#This Row],[Item_Rehab_WL]],[1]!Table2[#All],14,FALSE),0)</f>
        <v>0</v>
      </c>
      <c r="BS117" s="25">
        <f>IF(Table1[[#This Row],[Adjusted_ULife_HP]]=11,VLOOKUP(Table1[[#This Row],[Item_Handpump]],[1]!Table2[#All],14,FALSE),0)</f>
        <v>0</v>
      </c>
      <c r="BT117" s="25">
        <f>IF(Table1[[#This Row],[Adjusted_ULife_PF]]=11,VLOOKUP(Table1[[#This Row],[Item_Platform]],[1]!Table2[#All],14,FALSE),0)</f>
        <v>0</v>
      </c>
      <c r="BU117" s="25">
        <f>SUM(Table1[[#This Row],[yr 11_wl]:[yr 11_pf]])</f>
        <v>0</v>
      </c>
      <c r="BV117" s="25">
        <f>IF(Table1[[#This Row],[Years_Next_Rehab_Well]]=12,VLOOKUP(Table1[[#This Row],[Item_Rehab_WL]],[1]!Table2[#All],15,FALSE),0)</f>
        <v>0</v>
      </c>
      <c r="BW117" s="25">
        <f>IF(Table1[[#This Row],[Adjusted_ULife_HP]]=12,VLOOKUP(Table1[[#This Row],[Item_Handpump]],[1]!Table2[#All],15,FALSE),0)</f>
        <v>0</v>
      </c>
      <c r="BX117" s="25">
        <f>IF(Table1[[#This Row],[Adjusted_ULife_PF]]=12,VLOOKUP(Table1[[#This Row],[Item_Platform]],[1]!Table2[#All],15,FALSE),0)</f>
        <v>0</v>
      </c>
      <c r="BY117" s="25">
        <f>SUM(Table1[[#This Row],[yr 12_wl]:[yr 12_pf]])</f>
        <v>0</v>
      </c>
      <c r="BZ117" s="25">
        <f>IF(Table1[[#This Row],[Years_Next_Rehab_Well]]=13,VLOOKUP(Table1[[#This Row],[Item_Rehab_WL]],[1]!Table2[#All],16,FALSE),0)</f>
        <v>0</v>
      </c>
      <c r="CA117" s="25">
        <f>IF(Table1[[#This Row],[Adjusted_ULife_HP]]=13,VLOOKUP(Table1[[#This Row],[Item_Handpump]],[1]!Table2[#All],16,FALSE),0)</f>
        <v>0</v>
      </c>
      <c r="CB117" s="25">
        <f>IF(Table1[[#This Row],[Adjusted_ULife_PF]]=13,VLOOKUP(Table1[[#This Row],[Item_Platform]],[1]!Table2[#All],16,FALSE),0)</f>
        <v>0</v>
      </c>
      <c r="CC117" s="25">
        <f>SUM(Table1[[#This Row],[yr 13_wl]:[yr 13_pf]])</f>
        <v>0</v>
      </c>
      <c r="CD117" s="12"/>
    </row>
    <row r="118" spans="1:82" s="11" customFormat="1" x14ac:dyDescent="0.25">
      <c r="A118" s="11" t="str">
        <f>IF([1]Input_monitoring_data!A114="","",[1]Input_monitoring_data!A114)</f>
        <v>kt6h-h5ph-2na2</v>
      </c>
      <c r="B118" s="22" t="str">
        <f>[1]Input_monitoring_data!BH114</f>
        <v>GAMBIA</v>
      </c>
      <c r="C118" s="22" t="str">
        <f>[1]Input_monitoring_data!BI114</f>
        <v>NSUTA</v>
      </c>
      <c r="D118" s="22" t="str">
        <f>[1]Input_monitoring_data!P114</f>
        <v>7.08955422</v>
      </c>
      <c r="E118" s="22" t="str">
        <f>[1]Input_monitoring_data!Q114</f>
        <v>-2.60639892</v>
      </c>
      <c r="F118" s="22" t="str">
        <f>[1]Input_monitoring_data!V114</f>
        <v>In premises of the chipp Compound</v>
      </c>
      <c r="G118" s="23" t="str">
        <f>[1]Input_monitoring_data!U114</f>
        <v>Borehole</v>
      </c>
      <c r="H118" s="22">
        <f>[1]Input_monitoring_data!X114</f>
        <v>2017</v>
      </c>
      <c r="I118" s="21" t="str">
        <f>[1]Input_monitoring_data!AB114</f>
        <v>Borehole redevelopment</v>
      </c>
      <c r="J118" s="21">
        <f>[1]Input_monitoring_data!AC114</f>
        <v>0</v>
      </c>
      <c r="K118" s="23" t="str">
        <f>[1]Input_monitoring_data!W114</f>
        <v>AfriDev</v>
      </c>
      <c r="L118" s="22">
        <f>[1]Input_monitoring_data!X114</f>
        <v>2017</v>
      </c>
      <c r="M118" s="21" t="str">
        <f>IF([1]Input_monitoring_data!BL114&gt;'Point Sources_Asset_Register_'!L118,[1]Input_monitoring_data!BL114,"")</f>
        <v/>
      </c>
      <c r="N118" s="22" t="str">
        <f>[1]Input_monitoring_data!BQ114</f>
        <v>functional</v>
      </c>
      <c r="O118" s="22">
        <f>[1]Input_monitoring_data!AJ114</f>
        <v>0</v>
      </c>
      <c r="P118" s="23" t="s">
        <v>0</v>
      </c>
      <c r="Q118" s="22">
        <f>L118</f>
        <v>2017</v>
      </c>
      <c r="R118" s="21" t="str">
        <f>M118</f>
        <v/>
      </c>
      <c r="S118" s="20">
        <f>[1]Input_EUL_CRC_ERC!$B$17-Table1[[#This Row],[Year Installed_WL]]</f>
        <v>0</v>
      </c>
      <c r="T118" s="20">
        <f>[1]Input_EUL_CRC_ERC!$B$17-(IF(Table1[[#This Row],[Year Last_Rehab_WL ]]=0,Table1[[#This Row],[Year Installed_WL]],[1]Input_EUL_CRC_ERC!$B$17-Table1[[#This Row],[Year Last_Rehab_WL ]]))</f>
        <v>0</v>
      </c>
      <c r="U118" s="20">
        <f>(VLOOKUP(Table1[[#This Row],[Item_Rehab_WL]],[1]Input_EUL_CRC_ERC!$C$17:$E$27,2,FALSE)-Table1[[#This Row],[Last Rehab Age]])</f>
        <v>15</v>
      </c>
      <c r="V118" s="19">
        <f>[1]Input_EUL_CRC_ERC!$B$17-Table1[[#This Row],[Year Installed_HP]]</f>
        <v>0</v>
      </c>
      <c r="W118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18" s="19">
        <f>[1]Input_EUL_CRC_ERC!$B$17-Table1[[#This Row],[Year Installed_PF]]</f>
        <v>0</v>
      </c>
      <c r="Y118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18" s="25">
        <f>IF(Table1[[#This Row],[Years_Next_Rehab_Well]]&lt;=0,VLOOKUP(Table1[[#This Row],[Item_Rehab_WL]],[1]!Table2[#All],3,FALSE),0)</f>
        <v>0</v>
      </c>
      <c r="AA118" s="18">
        <f>IF(Table1[[#This Row],[Adjusted_ULife_HP]]&lt;=0,VLOOKUP(Table1[[#This Row],[Item_Handpump]],[1]!Table2[#All],3,FALSE),0)</f>
        <v>0</v>
      </c>
      <c r="AB118" s="18">
        <f>IF(Table1[[#This Row],[Adjusted_ULife_PF]]&lt;=0,VLOOKUP(Table1[[#This Row],[Item_Platform]],[1]!Table2[#All],3,FALSE),0)</f>
        <v>0</v>
      </c>
      <c r="AC118" s="18">
        <f>SUM(Table1[[#This Row],[current yr_wl]:[current yr_pf]])</f>
        <v>0</v>
      </c>
      <c r="AD118" s="25">
        <f>IF(Table1[[#This Row],[Years_Next_Rehab_Well]]=1,VLOOKUP(Table1[[#This Row],[Item_Rehab_WL]],[1]!Table2[#All],4,FALSE),0)</f>
        <v>0</v>
      </c>
      <c r="AE118" s="25">
        <f>IF(Table1[[#This Row],[Adjusted_ULife_HP]]=1,VLOOKUP(Table1[[#This Row],[Item_Handpump]],[1]!Table2[#All],4,FALSE),0)</f>
        <v>0</v>
      </c>
      <c r="AF118" s="25">
        <f>IF(Table1[[#This Row],[Adjusted_ULife_PF]]=1,VLOOKUP(Table1[[#This Row],[Item_Platform]],[1]!Table2[#All],4,FALSE),0)</f>
        <v>0</v>
      </c>
      <c r="AG118" s="25">
        <f>SUM(Table1[[#This Row],[yr 1_wl]:[yr 1_pf]])</f>
        <v>0</v>
      </c>
      <c r="AH118" s="25">
        <f>IF(Table1[[#This Row],[Years_Next_Rehab_Well]]=2,VLOOKUP(Table1[[#This Row],[Item_Rehab_WL]],[1]!Table2[#All],5,FALSE),0)</f>
        <v>0</v>
      </c>
      <c r="AI118" s="25">
        <f>IF(Table1[[#This Row],[Adjusted_ULife_HP]]=2,VLOOKUP(Table1[[#This Row],[Item_Handpump]],[1]!Table2[#All],5,FALSE),0)</f>
        <v>0</v>
      </c>
      <c r="AJ118" s="25">
        <f>IF(Table1[[#This Row],[Adjusted_ULife_PF]]=2,VLOOKUP(Table1[[#This Row],[Item_Platform]],[1]!Table2[#All],5,FALSE),0)</f>
        <v>0</v>
      </c>
      <c r="AK118" s="25">
        <f>SUM(Table1[[#This Row],[yr 2_wl]:[yr 2_pf]])</f>
        <v>0</v>
      </c>
      <c r="AL118" s="25">
        <f>IF(Table1[[#This Row],[Years_Next_Rehab_Well]]=3,VLOOKUP(Table1[[#This Row],[Item_Rehab_WL]],[1]!Table2[#All],6,FALSE),0)</f>
        <v>0</v>
      </c>
      <c r="AM118" s="25">
        <f>IF(Table1[[#This Row],[Adjusted_ULife_HP]]=3,VLOOKUP(Table1[[#This Row],[Item_Handpump]],[1]!Table2[#All],6,FALSE),0)</f>
        <v>0</v>
      </c>
      <c r="AN118" s="25">
        <f>IF(Table1[[#This Row],[Adjusted_ULife_PF]]=3,VLOOKUP(Table1[[#This Row],[Item_Platform]],[1]!Table2[#All],6,FALSE),0)</f>
        <v>0</v>
      </c>
      <c r="AO118" s="25">
        <f>SUM(Table1[[#This Row],[yr 3_wl]:[yr 3_pf]])</f>
        <v>0</v>
      </c>
      <c r="AP118" s="25">
        <f>IF(Table1[[#This Row],[Years_Next_Rehab_Well]]=4,VLOOKUP(Table1[[#This Row],[Item_Rehab_WL]],[1]!Table2[#All],7,FALSE),0)</f>
        <v>0</v>
      </c>
      <c r="AQ118" s="25">
        <f>IF(Table1[[#This Row],[Adjusted_ULife_HP]]=4,VLOOKUP(Table1[[#This Row],[Item_Handpump]],[1]!Table2[#All],7,FALSE),0)</f>
        <v>0</v>
      </c>
      <c r="AR118" s="25">
        <f>IF(Table1[[#This Row],[Adjusted_ULife_PF]]=4,VLOOKUP(Table1[[#This Row],[Item_Platform]],[1]!Table2[#All],7,FALSE),0)</f>
        <v>0</v>
      </c>
      <c r="AS118" s="25">
        <f>SUM(Table1[[#This Row],[yr 4_wl]:[yr 4_pf]])</f>
        <v>0</v>
      </c>
      <c r="AT118" s="25">
        <f>IF(Table1[[#This Row],[Years_Next_Rehab_Well]]=5,VLOOKUP(Table1[[#This Row],[Item_Rehab_WL]],[1]!Table2[#All],8,FALSE),0)</f>
        <v>0</v>
      </c>
      <c r="AU118" s="25">
        <f>IF(Table1[[#This Row],[Adjusted_ULife_HP]]=5,VLOOKUP(Table1[[#This Row],[Item_Handpump]],[1]!Table2[#All],8,FALSE),0)</f>
        <v>0</v>
      </c>
      <c r="AV118" s="25">
        <f>IF(Table1[[#This Row],[Adjusted_ULife_PF]]=5,VLOOKUP(Table1[[#This Row],[Item_Platform]],[1]!Table2[#All],8,FALSE),0)</f>
        <v>0</v>
      </c>
      <c r="AW118" s="25">
        <f>SUM(Table1[[#This Row],[yr 5_wl]:[yr 5_pf]])</f>
        <v>0</v>
      </c>
      <c r="AX118" s="25">
        <f>IF(Table1[[#This Row],[Years_Next_Rehab_Well]]=6,VLOOKUP(Table1[[#This Row],[Item_Rehab_WL]],[1]!Table2[#All],9,FALSE),0)</f>
        <v>0</v>
      </c>
      <c r="AY118" s="25">
        <f>IF(Table1[[#This Row],[Adjusted_ULife_HP]]=6,VLOOKUP(Table1[[#This Row],[Item_Handpump]],[1]!Table2[#All],9,FALSE),0)</f>
        <v>0</v>
      </c>
      <c r="AZ118" s="25">
        <f>IF(Table1[[#This Row],[Adjusted_ULife_PF]]=6,VLOOKUP(Table1[[#This Row],[Item_Platform]],[1]!Table2[#All],9,FALSE),0)</f>
        <v>0</v>
      </c>
      <c r="BA118" s="25">
        <f>SUM(Table1[[#This Row],[yr 6_wl]:[yr 6_pf]])</f>
        <v>0</v>
      </c>
      <c r="BB118" s="25">
        <f>IF(Table1[[#This Row],[Years_Next_Rehab_Well]]=7,VLOOKUP(Table1[[#This Row],[Item_Rehab_WL]],[1]!Table2[#All],10,FALSE),0)</f>
        <v>0</v>
      </c>
      <c r="BC118" s="25">
        <f>IF(Table1[[#This Row],[Adjusted_ULife_HP]]=7,VLOOKUP(Table1[[#This Row],[Item_Handpump]],[1]!Table2[#All],10,FALSE),0)</f>
        <v>0</v>
      </c>
      <c r="BD118" s="25">
        <f>IF(Table1[[#This Row],[Adjusted_ULife_PF]]=7,VLOOKUP(Table1[[#This Row],[Item_Platform]],[1]!Table2[#All],10,FALSE),0)</f>
        <v>0</v>
      </c>
      <c r="BE118" s="25">
        <f>SUM(Table1[[#This Row],[yr 7_wl]:[yr 7_pf]])</f>
        <v>0</v>
      </c>
      <c r="BF118" s="25">
        <f>IF(Table1[[#This Row],[Years_Next_Rehab_Well]]=8,VLOOKUP(Table1[[#This Row],[Item_Rehab_WL]],[1]!Table2[#All],11,FALSE),0)</f>
        <v>0</v>
      </c>
      <c r="BG118" s="25">
        <f>IF(Table1[[#This Row],[Adjusted_ULife_HP]]=8,VLOOKUP(Table1[[#This Row],[Item_Handpump]],[1]!Table2[#All],11,FALSE),0)</f>
        <v>0</v>
      </c>
      <c r="BH118" s="25">
        <f>IF(Table1[[#This Row],[Adjusted_ULife_PF]]=8,VLOOKUP(Table1[[#This Row],[Item_Platform]],[1]!Table2[#All],11,FALSE),0)</f>
        <v>0</v>
      </c>
      <c r="BI118" s="25">
        <f>SUM(Table1[[#This Row],[yr 8_wl]:[yr 8_pf]])</f>
        <v>0</v>
      </c>
      <c r="BJ118" s="25">
        <f>IF(Table1[[#This Row],[Years_Next_Rehab_Well]]=9,VLOOKUP(Table1[[#This Row],[Item_Rehab_WL]],[1]!Table2[#All],12,FALSE),0)</f>
        <v>0</v>
      </c>
      <c r="BK118" s="25">
        <f>IF(Table1[[#This Row],[Adjusted_ULife_HP]]=9,VLOOKUP(Table1[[#This Row],[Item_Handpump]],[1]!Table2[#All],12,FALSE),0)</f>
        <v>0</v>
      </c>
      <c r="BL118" s="25">
        <f>IF(Table1[[#This Row],[Adjusted_ULife_PF]]=9,VLOOKUP(Table1[[#This Row],[Item_Platform]],[1]!Table2[#All],12,FALSE),0)</f>
        <v>0</v>
      </c>
      <c r="BM118" s="25">
        <f>SUM(Table1[[#This Row],[yr 9_wl]:[yr 9_pf]])</f>
        <v>0</v>
      </c>
      <c r="BN118" s="25">
        <f>IF(Table1[[#This Row],[Years_Next_Rehab_Well]]=10,VLOOKUP(Table1[[#This Row],[Item_Rehab_WL]],[1]!Table2[#All],13,FALSE),0)</f>
        <v>0</v>
      </c>
      <c r="BO118" s="25">
        <f>IF(Table1[[#This Row],[Adjusted_ULife_HP]]=10,VLOOKUP(Table1[[#This Row],[Item_Handpump]],[1]!Table2[#All],13,FALSE),0)</f>
        <v>0</v>
      </c>
      <c r="BP118" s="25">
        <f>IF(Table1[[#This Row],[Adjusted_ULife_PF]]=10,VLOOKUP(Table1[[#This Row],[Item_Platform]],[1]!Table2[#All],13,FALSE),0)</f>
        <v>4658.7723125163184</v>
      </c>
      <c r="BQ118" s="25">
        <f>SUM(Table1[[#This Row],[yr 10_wl]:[yr 10_pf]])</f>
        <v>4658.7723125163184</v>
      </c>
      <c r="BR118" s="25">
        <f>IF(Table1[[#This Row],[Years_Next_Rehab_Well]]=11,VLOOKUP(Table1[[#This Row],[Item_Rehab_WL]],[1]!Table2[#All],14,FALSE),0)</f>
        <v>0</v>
      </c>
      <c r="BS118" s="25">
        <f>IF(Table1[[#This Row],[Adjusted_ULife_HP]]=11,VLOOKUP(Table1[[#This Row],[Item_Handpump]],[1]!Table2[#All],14,FALSE),0)</f>
        <v>0</v>
      </c>
      <c r="BT118" s="25">
        <f>IF(Table1[[#This Row],[Adjusted_ULife_PF]]=11,VLOOKUP(Table1[[#This Row],[Item_Platform]],[1]!Table2[#All],14,FALSE),0)</f>
        <v>0</v>
      </c>
      <c r="BU118" s="25">
        <f>SUM(Table1[[#This Row],[yr 11_wl]:[yr 11_pf]])</f>
        <v>0</v>
      </c>
      <c r="BV118" s="25">
        <f>IF(Table1[[#This Row],[Years_Next_Rehab_Well]]=12,VLOOKUP(Table1[[#This Row],[Item_Rehab_WL]],[1]!Table2[#All],15,FALSE),0)</f>
        <v>0</v>
      </c>
      <c r="BW118" s="25">
        <f>IF(Table1[[#This Row],[Adjusted_ULife_HP]]=12,VLOOKUP(Table1[[#This Row],[Item_Handpump]],[1]!Table2[#All],15,FALSE),0)</f>
        <v>0</v>
      </c>
      <c r="BX118" s="25">
        <f>IF(Table1[[#This Row],[Adjusted_ULife_PF]]=12,VLOOKUP(Table1[[#This Row],[Item_Platform]],[1]!Table2[#All],15,FALSE),0)</f>
        <v>0</v>
      </c>
      <c r="BY118" s="25">
        <f>SUM(Table1[[#This Row],[yr 12_wl]:[yr 12_pf]])</f>
        <v>0</v>
      </c>
      <c r="BZ118" s="25">
        <f>IF(Table1[[#This Row],[Years_Next_Rehab_Well]]=13,VLOOKUP(Table1[[#This Row],[Item_Rehab_WL]],[1]!Table2[#All],16,FALSE),0)</f>
        <v>0</v>
      </c>
      <c r="CA118" s="25">
        <f>IF(Table1[[#This Row],[Adjusted_ULife_HP]]=13,VLOOKUP(Table1[[#This Row],[Item_Handpump]],[1]!Table2[#All],16,FALSE),0)</f>
        <v>0</v>
      </c>
      <c r="CB118" s="25">
        <f>IF(Table1[[#This Row],[Adjusted_ULife_PF]]=13,VLOOKUP(Table1[[#This Row],[Item_Platform]],[1]!Table2[#All],16,FALSE),0)</f>
        <v>0</v>
      </c>
      <c r="CC118" s="25">
        <f>SUM(Table1[[#This Row],[yr 13_wl]:[yr 13_pf]])</f>
        <v>0</v>
      </c>
      <c r="CD118" s="12"/>
    </row>
    <row r="119" spans="1:82" s="11" customFormat="1" x14ac:dyDescent="0.25">
      <c r="A119" s="11" t="str">
        <f>IF([1]Input_monitoring_data!A115="","",[1]Input_monitoring_data!A115)</f>
        <v>kvkx-6s69-qhas</v>
      </c>
      <c r="B119" s="22" t="str">
        <f>[1]Input_monitoring_data!BH115</f>
        <v>Kenyasi No.1</v>
      </c>
      <c r="C119" s="22" t="str">
        <f>[1]Input_monitoring_data!BI115</f>
        <v>Kenyasi No.1</v>
      </c>
      <c r="D119" s="22" t="str">
        <f>[1]Input_monitoring_data!P115</f>
        <v>6.974330718120599</v>
      </c>
      <c r="E119" s="22" t="str">
        <f>[1]Input_monitoring_data!Q115</f>
        <v>-2.375336539796159</v>
      </c>
      <c r="F119" s="22" t="str">
        <f>[1]Input_monitoring_data!V115</f>
        <v>Near Amana Steam</v>
      </c>
      <c r="G119" s="23" t="str">
        <f>[1]Input_monitoring_data!U115</f>
        <v>Borehole</v>
      </c>
      <c r="H119" s="22">
        <f>[1]Input_monitoring_data!X115</f>
        <v>2011</v>
      </c>
      <c r="I119" s="21" t="str">
        <f>[1]Input_monitoring_data!AB115</f>
        <v>Borehole redevelopment</v>
      </c>
      <c r="J119" s="21">
        <f>[1]Input_monitoring_data!AC115</f>
        <v>0</v>
      </c>
      <c r="K119" s="23" t="str">
        <f>[1]Input_monitoring_data!W115</f>
        <v>AfriDev</v>
      </c>
      <c r="L119" s="22">
        <f>[1]Input_monitoring_data!X115</f>
        <v>2011</v>
      </c>
      <c r="M119" s="21">
        <f>IF([1]Input_monitoring_data!BL115&gt;'Point Sources_Asset_Register_'!L119,[1]Input_monitoring_data!BL115,"")</f>
        <v>2012</v>
      </c>
      <c r="N119" s="22" t="str">
        <f>[1]Input_monitoring_data!BQ115</f>
        <v>not functional</v>
      </c>
      <c r="O119" s="22">
        <f>[1]Input_monitoring_data!AJ115</f>
        <v>0</v>
      </c>
      <c r="P119" s="23" t="s">
        <v>0</v>
      </c>
      <c r="Q119" s="22">
        <f>L119</f>
        <v>2011</v>
      </c>
      <c r="R119" s="21">
        <f>M119</f>
        <v>2012</v>
      </c>
      <c r="S119" s="20">
        <f>[1]Input_EUL_CRC_ERC!$B$17-Table1[[#This Row],[Year Installed_WL]]</f>
        <v>6</v>
      </c>
      <c r="T119" s="20">
        <f>[1]Input_EUL_CRC_ERC!$B$17-(IF(Table1[[#This Row],[Year Last_Rehab_WL ]]=0,Table1[[#This Row],[Year Installed_WL]],[1]Input_EUL_CRC_ERC!$B$17-Table1[[#This Row],[Year Last_Rehab_WL ]]))</f>
        <v>6</v>
      </c>
      <c r="U119" s="20">
        <f>(VLOOKUP(Table1[[#This Row],[Item_Rehab_WL]],[1]Input_EUL_CRC_ERC!$C$17:$E$27,2,FALSE)-Table1[[#This Row],[Last Rehab Age]])</f>
        <v>9</v>
      </c>
      <c r="V119" s="19">
        <f>[1]Input_EUL_CRC_ERC!$B$17-Table1[[#This Row],[Year Installed_HP]]</f>
        <v>6</v>
      </c>
      <c r="W119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119" s="19">
        <f>[1]Input_EUL_CRC_ERC!$B$17-Table1[[#This Row],[Year Installed_PF]]</f>
        <v>6</v>
      </c>
      <c r="Y119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119" s="25">
        <f>IF(Table1[[#This Row],[Years_Next_Rehab_Well]]&lt;=0,VLOOKUP(Table1[[#This Row],[Item_Rehab_WL]],[1]!Table2[#All],3,FALSE),0)</f>
        <v>0</v>
      </c>
      <c r="AA119" s="18">
        <f>IF(Table1[[#This Row],[Adjusted_ULife_HP]]&lt;=0,VLOOKUP(Table1[[#This Row],[Item_Handpump]],[1]!Table2[#All],3,FALSE),0)</f>
        <v>0</v>
      </c>
      <c r="AB119" s="18">
        <f>IF(Table1[[#This Row],[Adjusted_ULife_PF]]&lt;=0,VLOOKUP(Table1[[#This Row],[Item_Platform]],[1]!Table2[#All],3,FALSE),0)</f>
        <v>0</v>
      </c>
      <c r="AC119" s="18">
        <f>SUM(Table1[[#This Row],[current yr_wl]:[current yr_pf]])</f>
        <v>0</v>
      </c>
      <c r="AD119" s="25">
        <f>IF(Table1[[#This Row],[Years_Next_Rehab_Well]]=1,VLOOKUP(Table1[[#This Row],[Item_Rehab_WL]],[1]!Table2[#All],4,FALSE),0)</f>
        <v>0</v>
      </c>
      <c r="AE119" s="25">
        <f>IF(Table1[[#This Row],[Adjusted_ULife_HP]]=1,VLOOKUP(Table1[[#This Row],[Item_Handpump]],[1]!Table2[#All],4,FALSE),0)</f>
        <v>0</v>
      </c>
      <c r="AF119" s="25">
        <f>IF(Table1[[#This Row],[Adjusted_ULife_PF]]=1,VLOOKUP(Table1[[#This Row],[Item_Platform]],[1]!Table2[#All],4,FALSE),0)</f>
        <v>0</v>
      </c>
      <c r="AG119" s="25">
        <f>SUM(Table1[[#This Row],[yr 1_wl]:[yr 1_pf]])</f>
        <v>0</v>
      </c>
      <c r="AH119" s="25">
        <f>IF(Table1[[#This Row],[Years_Next_Rehab_Well]]=2,VLOOKUP(Table1[[#This Row],[Item_Rehab_WL]],[1]!Table2[#All],5,FALSE),0)</f>
        <v>0</v>
      </c>
      <c r="AI119" s="25">
        <f>IF(Table1[[#This Row],[Adjusted_ULife_HP]]=2,VLOOKUP(Table1[[#This Row],[Item_Handpump]],[1]!Table2[#All],5,FALSE),0)</f>
        <v>0</v>
      </c>
      <c r="AJ119" s="25">
        <f>IF(Table1[[#This Row],[Adjusted_ULife_PF]]=2,VLOOKUP(Table1[[#This Row],[Item_Platform]],[1]!Table2[#All],5,FALSE),0)</f>
        <v>0</v>
      </c>
      <c r="AK119" s="25">
        <f>SUM(Table1[[#This Row],[yr 2_wl]:[yr 2_pf]])</f>
        <v>0</v>
      </c>
      <c r="AL119" s="25">
        <f>IF(Table1[[#This Row],[Years_Next_Rehab_Well]]=3,VLOOKUP(Table1[[#This Row],[Item_Rehab_WL]],[1]!Table2[#All],6,FALSE),0)</f>
        <v>0</v>
      </c>
      <c r="AM119" s="25">
        <f>IF(Table1[[#This Row],[Adjusted_ULife_HP]]=3,VLOOKUP(Table1[[#This Row],[Item_Handpump]],[1]!Table2[#All],6,FALSE),0)</f>
        <v>0</v>
      </c>
      <c r="AN119" s="25">
        <f>IF(Table1[[#This Row],[Adjusted_ULife_PF]]=3,VLOOKUP(Table1[[#This Row],[Item_Platform]],[1]!Table2[#All],6,FALSE),0)</f>
        <v>0</v>
      </c>
      <c r="AO119" s="25">
        <f>SUM(Table1[[#This Row],[yr 3_wl]:[yr 3_pf]])</f>
        <v>0</v>
      </c>
      <c r="AP119" s="25">
        <f>IF(Table1[[#This Row],[Years_Next_Rehab_Well]]=4,VLOOKUP(Table1[[#This Row],[Item_Rehab_WL]],[1]!Table2[#All],7,FALSE),0)</f>
        <v>0</v>
      </c>
      <c r="AQ119" s="25">
        <f>IF(Table1[[#This Row],[Adjusted_ULife_HP]]=4,VLOOKUP(Table1[[#This Row],[Item_Handpump]],[1]!Table2[#All],7,FALSE),0)</f>
        <v>0</v>
      </c>
      <c r="AR119" s="25">
        <f>IF(Table1[[#This Row],[Adjusted_ULife_PF]]=4,VLOOKUP(Table1[[#This Row],[Item_Platform]],[1]!Table2[#All],7,FALSE),0)</f>
        <v>0</v>
      </c>
      <c r="AS119" s="25">
        <f>SUM(Table1[[#This Row],[yr 4_wl]:[yr 4_pf]])</f>
        <v>0</v>
      </c>
      <c r="AT119" s="25">
        <f>IF(Table1[[#This Row],[Years_Next_Rehab_Well]]=5,VLOOKUP(Table1[[#This Row],[Item_Rehab_WL]],[1]!Table2[#All],8,FALSE),0)</f>
        <v>0</v>
      </c>
      <c r="AU119" s="25">
        <f>IF(Table1[[#This Row],[Adjusted_ULife_HP]]=5,VLOOKUP(Table1[[#This Row],[Item_Handpump]],[1]!Table2[#All],8,FALSE),0)</f>
        <v>0</v>
      </c>
      <c r="AV119" s="25">
        <f>IF(Table1[[#This Row],[Adjusted_ULife_PF]]=5,VLOOKUP(Table1[[#This Row],[Item_Platform]],[1]!Table2[#All],8,FALSE),0)</f>
        <v>2643.5125248000018</v>
      </c>
      <c r="AW119" s="25">
        <f>SUM(Table1[[#This Row],[yr 5_wl]:[yr 5_pf]])</f>
        <v>2643.5125248000018</v>
      </c>
      <c r="AX119" s="25">
        <f>IF(Table1[[#This Row],[Years_Next_Rehab_Well]]=6,VLOOKUP(Table1[[#This Row],[Item_Rehab_WL]],[1]!Table2[#All],9,FALSE),0)</f>
        <v>0</v>
      </c>
      <c r="AY119" s="25">
        <f>IF(Table1[[#This Row],[Adjusted_ULife_HP]]=6,VLOOKUP(Table1[[#This Row],[Item_Handpump]],[1]!Table2[#All],9,FALSE),0)</f>
        <v>0</v>
      </c>
      <c r="AZ119" s="25">
        <f>IF(Table1[[#This Row],[Adjusted_ULife_PF]]=6,VLOOKUP(Table1[[#This Row],[Item_Platform]],[1]!Table2[#All],9,FALSE),0)</f>
        <v>0</v>
      </c>
      <c r="BA119" s="25">
        <f>SUM(Table1[[#This Row],[yr 6_wl]:[yr 6_pf]])</f>
        <v>0</v>
      </c>
      <c r="BB119" s="25">
        <f>IF(Table1[[#This Row],[Years_Next_Rehab_Well]]=7,VLOOKUP(Table1[[#This Row],[Item_Rehab_WL]],[1]!Table2[#All],10,FALSE),0)</f>
        <v>0</v>
      </c>
      <c r="BC119" s="25">
        <f>IF(Table1[[#This Row],[Adjusted_ULife_HP]]=7,VLOOKUP(Table1[[#This Row],[Item_Handpump]],[1]!Table2[#All],10,FALSE),0)</f>
        <v>0</v>
      </c>
      <c r="BD119" s="25">
        <f>IF(Table1[[#This Row],[Adjusted_ULife_PF]]=7,VLOOKUP(Table1[[#This Row],[Item_Platform]],[1]!Table2[#All],10,FALSE),0)</f>
        <v>0</v>
      </c>
      <c r="BE119" s="25">
        <f>SUM(Table1[[#This Row],[yr 7_wl]:[yr 7_pf]])</f>
        <v>0</v>
      </c>
      <c r="BF119" s="25">
        <f>IF(Table1[[#This Row],[Years_Next_Rehab_Well]]=8,VLOOKUP(Table1[[#This Row],[Item_Rehab_WL]],[1]!Table2[#All],11,FALSE),0)</f>
        <v>0</v>
      </c>
      <c r="BG119" s="25">
        <f>IF(Table1[[#This Row],[Adjusted_ULife_HP]]=8,VLOOKUP(Table1[[#This Row],[Item_Handpump]],[1]!Table2[#All],11,FALSE),0)</f>
        <v>0</v>
      </c>
      <c r="BH119" s="25">
        <f>IF(Table1[[#This Row],[Adjusted_ULife_PF]]=8,VLOOKUP(Table1[[#This Row],[Item_Platform]],[1]!Table2[#All],11,FALSE),0)</f>
        <v>0</v>
      </c>
      <c r="BI119" s="25">
        <f>SUM(Table1[[#This Row],[yr 8_wl]:[yr 8_pf]])</f>
        <v>0</v>
      </c>
      <c r="BJ119" s="25">
        <f>IF(Table1[[#This Row],[Years_Next_Rehab_Well]]=9,VLOOKUP(Table1[[#This Row],[Item_Rehab_WL]],[1]!Table2[#All],12,FALSE),0)</f>
        <v>10167.955443984027</v>
      </c>
      <c r="BK119" s="25">
        <f>IF(Table1[[#This Row],[Adjusted_ULife_HP]]=9,VLOOKUP(Table1[[#This Row],[Item_Handpump]],[1]!Table2[#All],12,FALSE),0)</f>
        <v>0</v>
      </c>
      <c r="BL119" s="25">
        <f>IF(Table1[[#This Row],[Adjusted_ULife_PF]]=9,VLOOKUP(Table1[[#This Row],[Item_Platform]],[1]!Table2[#All],12,FALSE),0)</f>
        <v>0</v>
      </c>
      <c r="BM119" s="25">
        <f>SUM(Table1[[#This Row],[yr 9_wl]:[yr 9_pf]])</f>
        <v>10167.955443984027</v>
      </c>
      <c r="BN119" s="25">
        <f>IF(Table1[[#This Row],[Years_Next_Rehab_Well]]=10,VLOOKUP(Table1[[#This Row],[Item_Rehab_WL]],[1]!Table2[#All],13,FALSE),0)</f>
        <v>0</v>
      </c>
      <c r="BO119" s="25">
        <f>IF(Table1[[#This Row],[Adjusted_ULife_HP]]=10,VLOOKUP(Table1[[#This Row],[Item_Handpump]],[1]!Table2[#All],13,FALSE),0)</f>
        <v>0</v>
      </c>
      <c r="BP119" s="25">
        <f>IF(Table1[[#This Row],[Adjusted_ULife_PF]]=10,VLOOKUP(Table1[[#This Row],[Item_Platform]],[1]!Table2[#All],13,FALSE),0)</f>
        <v>0</v>
      </c>
      <c r="BQ119" s="25">
        <f>SUM(Table1[[#This Row],[yr 10_wl]:[yr 10_pf]])</f>
        <v>0</v>
      </c>
      <c r="BR119" s="25">
        <f>IF(Table1[[#This Row],[Years_Next_Rehab_Well]]=11,VLOOKUP(Table1[[#This Row],[Item_Rehab_WL]],[1]!Table2[#All],14,FALSE),0)</f>
        <v>0</v>
      </c>
      <c r="BS119" s="25">
        <f>IF(Table1[[#This Row],[Adjusted_ULife_HP]]=11,VLOOKUP(Table1[[#This Row],[Item_Handpump]],[1]!Table2[#All],14,FALSE),0)</f>
        <v>0</v>
      </c>
      <c r="BT119" s="25">
        <f>IF(Table1[[#This Row],[Adjusted_ULife_PF]]=11,VLOOKUP(Table1[[#This Row],[Item_Platform]],[1]!Table2[#All],14,FALSE),0)</f>
        <v>0</v>
      </c>
      <c r="BU119" s="25">
        <f>SUM(Table1[[#This Row],[yr 11_wl]:[yr 11_pf]])</f>
        <v>0</v>
      </c>
      <c r="BV119" s="25">
        <f>IF(Table1[[#This Row],[Years_Next_Rehab_Well]]=12,VLOOKUP(Table1[[#This Row],[Item_Rehab_WL]],[1]!Table2[#All],15,FALSE),0)</f>
        <v>0</v>
      </c>
      <c r="BW119" s="25">
        <f>IF(Table1[[#This Row],[Adjusted_ULife_HP]]=12,VLOOKUP(Table1[[#This Row],[Item_Handpump]],[1]!Table2[#All],15,FALSE),0)</f>
        <v>0</v>
      </c>
      <c r="BX119" s="25">
        <f>IF(Table1[[#This Row],[Adjusted_ULife_PF]]=12,VLOOKUP(Table1[[#This Row],[Item_Platform]],[1]!Table2[#All],15,FALSE),0)</f>
        <v>0</v>
      </c>
      <c r="BY119" s="25">
        <f>SUM(Table1[[#This Row],[yr 12_wl]:[yr 12_pf]])</f>
        <v>0</v>
      </c>
      <c r="BZ119" s="25">
        <f>IF(Table1[[#This Row],[Years_Next_Rehab_Well]]=13,VLOOKUP(Table1[[#This Row],[Item_Rehab_WL]],[1]!Table2[#All],16,FALSE),0)</f>
        <v>0</v>
      </c>
      <c r="CA119" s="25">
        <f>IF(Table1[[#This Row],[Adjusted_ULife_HP]]=13,VLOOKUP(Table1[[#This Row],[Item_Handpump]],[1]!Table2[#All],16,FALSE),0)</f>
        <v>0</v>
      </c>
      <c r="CB119" s="25">
        <f>IF(Table1[[#This Row],[Adjusted_ULife_PF]]=13,VLOOKUP(Table1[[#This Row],[Item_Platform]],[1]!Table2[#All],16,FALSE),0)</f>
        <v>0</v>
      </c>
      <c r="CC119" s="25">
        <f>SUM(Table1[[#This Row],[yr 13_wl]:[yr 13_pf]])</f>
        <v>0</v>
      </c>
      <c r="CD119" s="12"/>
    </row>
    <row r="120" spans="1:82" s="11" customFormat="1" x14ac:dyDescent="0.25">
      <c r="A120" s="11" t="str">
        <f>IF([1]Input_monitoring_data!A116="","",[1]Input_monitoring_data!A116)</f>
        <v>m3ry-uqxr-yc6g</v>
      </c>
      <c r="B120" s="22" t="str">
        <f>[1]Input_monitoring_data!BH116</f>
        <v>Gambia</v>
      </c>
      <c r="C120" s="22" t="str">
        <f>[1]Input_monitoring_data!BI116</f>
        <v>Kwagyankrom</v>
      </c>
      <c r="D120" s="22" t="str">
        <f>[1]Input_monitoring_data!P116</f>
        <v>7.049165245021086</v>
      </c>
      <c r="E120" s="22" t="str">
        <f>[1]Input_monitoring_data!Q116</f>
        <v>-2.7556103714171267</v>
      </c>
      <c r="F120" s="22" t="str">
        <f>[1]Input_monitoring_data!V116</f>
        <v>Fire's Premises</v>
      </c>
      <c r="G120" s="23" t="str">
        <f>[1]Input_monitoring_data!U116</f>
        <v>Borehole</v>
      </c>
      <c r="H120" s="22">
        <f>[1]Input_monitoring_data!X116</f>
        <v>2013</v>
      </c>
      <c r="I120" s="21" t="str">
        <f>[1]Input_monitoring_data!AB116</f>
        <v>Borehole redevelopment</v>
      </c>
      <c r="J120" s="21">
        <f>[1]Input_monitoring_data!AC116</f>
        <v>0</v>
      </c>
      <c r="K120" s="23" t="str">
        <f>[1]Input_monitoring_data!W116</f>
        <v>Solar Pump</v>
      </c>
      <c r="L120" s="22">
        <f>[1]Input_monitoring_data!X116</f>
        <v>2013</v>
      </c>
      <c r="M120" s="21" t="str">
        <f>IF([1]Input_monitoring_data!BL116&gt;'Point Sources_Asset_Register_'!L120,[1]Input_monitoring_data!BL116,"")</f>
        <v/>
      </c>
      <c r="N120" s="22" t="str">
        <f>[1]Input_monitoring_data!BQ116</f>
        <v>partially functional</v>
      </c>
      <c r="O120" s="22">
        <f>[1]Input_monitoring_data!AJ116</f>
        <v>0</v>
      </c>
      <c r="P120" s="23" t="s">
        <v>0</v>
      </c>
      <c r="Q120" s="22">
        <f>L120</f>
        <v>2013</v>
      </c>
      <c r="R120" s="21" t="str">
        <f>M120</f>
        <v/>
      </c>
      <c r="S120" s="20">
        <f>[1]Input_EUL_CRC_ERC!$B$17-Table1[[#This Row],[Year Installed_WL]]</f>
        <v>4</v>
      </c>
      <c r="T120" s="20">
        <f>[1]Input_EUL_CRC_ERC!$B$17-(IF(Table1[[#This Row],[Year Last_Rehab_WL ]]=0,Table1[[#This Row],[Year Installed_WL]],[1]Input_EUL_CRC_ERC!$B$17-Table1[[#This Row],[Year Last_Rehab_WL ]]))</f>
        <v>4</v>
      </c>
      <c r="U120" s="20">
        <f>(VLOOKUP(Table1[[#This Row],[Item_Rehab_WL]],[1]Input_EUL_CRC_ERC!$C$17:$E$27,2,FALSE)-Table1[[#This Row],[Last Rehab Age]])</f>
        <v>11</v>
      </c>
      <c r="V120" s="19">
        <f>[1]Input_EUL_CRC_ERC!$B$17-Table1[[#This Row],[Year Installed_HP]]</f>
        <v>4</v>
      </c>
      <c r="W120" s="19">
        <f>(VLOOKUP(Table1[[#This Row],[Item_Handpump]],[1]!Table2[#All],2,FALSE))-(IF(Table1[[#This Row],[Year Last_Rehab_HP]]="",Table1[[#This Row],[Current Age_Handpump]],[1]Input_EUL_CRC_ERC!$B$17-Table1[[#This Row],[Year Last_Rehab_HP]]))</f>
        <v>6</v>
      </c>
      <c r="X120" s="19">
        <f>[1]Input_EUL_CRC_ERC!$B$17-Table1[[#This Row],[Year Installed_PF]]</f>
        <v>4</v>
      </c>
      <c r="Y120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20" s="25">
        <f>IF(Table1[[#This Row],[Years_Next_Rehab_Well]]&lt;=0,VLOOKUP(Table1[[#This Row],[Item_Rehab_WL]],[1]!Table2[#All],3,FALSE),0)</f>
        <v>0</v>
      </c>
      <c r="AA120" s="18">
        <f>IF(Table1[[#This Row],[Adjusted_ULife_HP]]&lt;=0,VLOOKUP(Table1[[#This Row],[Item_Handpump]],[1]!Table2[#All],3,FALSE),0)</f>
        <v>0</v>
      </c>
      <c r="AB120" s="18">
        <f>IF(Table1[[#This Row],[Adjusted_ULife_PF]]&lt;=0,VLOOKUP(Table1[[#This Row],[Item_Platform]],[1]!Table2[#All],3,FALSE),0)</f>
        <v>0</v>
      </c>
      <c r="AC120" s="18">
        <f>SUM(Table1[[#This Row],[current yr_wl]:[current yr_pf]])</f>
        <v>0</v>
      </c>
      <c r="AD120" s="25">
        <f>IF(Table1[[#This Row],[Years_Next_Rehab_Well]]=1,VLOOKUP(Table1[[#This Row],[Item_Rehab_WL]],[1]!Table2[#All],4,FALSE),0)</f>
        <v>0</v>
      </c>
      <c r="AE120" s="25">
        <f>IF(Table1[[#This Row],[Adjusted_ULife_HP]]=1,VLOOKUP(Table1[[#This Row],[Item_Handpump]],[1]!Table2[#All],4,FALSE),0)</f>
        <v>0</v>
      </c>
      <c r="AF120" s="25">
        <f>IF(Table1[[#This Row],[Adjusted_ULife_PF]]=1,VLOOKUP(Table1[[#This Row],[Item_Platform]],[1]!Table2[#All],4,FALSE),0)</f>
        <v>0</v>
      </c>
      <c r="AG120" s="25">
        <f>SUM(Table1[[#This Row],[yr 1_wl]:[yr 1_pf]])</f>
        <v>0</v>
      </c>
      <c r="AH120" s="25">
        <f>IF(Table1[[#This Row],[Years_Next_Rehab_Well]]=2,VLOOKUP(Table1[[#This Row],[Item_Rehab_WL]],[1]!Table2[#All],5,FALSE),0)</f>
        <v>0</v>
      </c>
      <c r="AI120" s="25">
        <f>IF(Table1[[#This Row],[Adjusted_ULife_HP]]=2,VLOOKUP(Table1[[#This Row],[Item_Handpump]],[1]!Table2[#All],5,FALSE),0)</f>
        <v>0</v>
      </c>
      <c r="AJ120" s="25">
        <f>IF(Table1[[#This Row],[Adjusted_ULife_PF]]=2,VLOOKUP(Table1[[#This Row],[Item_Platform]],[1]!Table2[#All],5,FALSE),0)</f>
        <v>0</v>
      </c>
      <c r="AK120" s="25">
        <f>SUM(Table1[[#This Row],[yr 2_wl]:[yr 2_pf]])</f>
        <v>0</v>
      </c>
      <c r="AL120" s="25">
        <f>IF(Table1[[#This Row],[Years_Next_Rehab_Well]]=3,VLOOKUP(Table1[[#This Row],[Item_Rehab_WL]],[1]!Table2[#All],6,FALSE),0)</f>
        <v>0</v>
      </c>
      <c r="AM120" s="25">
        <f>IF(Table1[[#This Row],[Adjusted_ULife_HP]]=3,VLOOKUP(Table1[[#This Row],[Item_Handpump]],[1]!Table2[#All],6,FALSE),0)</f>
        <v>0</v>
      </c>
      <c r="AN120" s="25">
        <f>IF(Table1[[#This Row],[Adjusted_ULife_PF]]=3,VLOOKUP(Table1[[#This Row],[Item_Platform]],[1]!Table2[#All],6,FALSE),0)</f>
        <v>0</v>
      </c>
      <c r="AO120" s="25">
        <f>SUM(Table1[[#This Row],[yr 3_wl]:[yr 3_pf]])</f>
        <v>0</v>
      </c>
      <c r="AP120" s="25">
        <f>IF(Table1[[#This Row],[Years_Next_Rehab_Well]]=4,VLOOKUP(Table1[[#This Row],[Item_Rehab_WL]],[1]!Table2[#All],7,FALSE),0)</f>
        <v>0</v>
      </c>
      <c r="AQ120" s="25">
        <f>IF(Table1[[#This Row],[Adjusted_ULife_HP]]=4,VLOOKUP(Table1[[#This Row],[Item_Handpump]],[1]!Table2[#All],7,FALSE),0)</f>
        <v>0</v>
      </c>
      <c r="AR120" s="25">
        <f>IF(Table1[[#This Row],[Adjusted_ULife_PF]]=4,VLOOKUP(Table1[[#This Row],[Item_Platform]],[1]!Table2[#All],7,FALSE),0)</f>
        <v>0</v>
      </c>
      <c r="AS120" s="25">
        <f>SUM(Table1[[#This Row],[yr 4_wl]:[yr 4_pf]])</f>
        <v>0</v>
      </c>
      <c r="AT120" s="25">
        <f>IF(Table1[[#This Row],[Years_Next_Rehab_Well]]=5,VLOOKUP(Table1[[#This Row],[Item_Rehab_WL]],[1]!Table2[#All],8,FALSE),0)</f>
        <v>0</v>
      </c>
      <c r="AU120" s="25">
        <f>IF(Table1[[#This Row],[Adjusted_ULife_HP]]=5,VLOOKUP(Table1[[#This Row],[Item_Handpump]],[1]!Table2[#All],8,FALSE),0)</f>
        <v>0</v>
      </c>
      <c r="AV120" s="25">
        <f>IF(Table1[[#This Row],[Adjusted_ULife_PF]]=5,VLOOKUP(Table1[[#This Row],[Item_Platform]],[1]!Table2[#All],8,FALSE),0)</f>
        <v>0</v>
      </c>
      <c r="AW120" s="25">
        <f>SUM(Table1[[#This Row],[yr 5_wl]:[yr 5_pf]])</f>
        <v>0</v>
      </c>
      <c r="AX120" s="25">
        <f>IF(Table1[[#This Row],[Years_Next_Rehab_Well]]=6,VLOOKUP(Table1[[#This Row],[Item_Rehab_WL]],[1]!Table2[#All],9,FALSE),0)</f>
        <v>0</v>
      </c>
      <c r="AY120" s="25">
        <f>IF(Table1[[#This Row],[Adjusted_ULife_HP]]=6,VLOOKUP(Table1[[#This Row],[Item_Handpump]],[1]!Table2[#All],9,FALSE),0)</f>
        <v>789.52907407360033</v>
      </c>
      <c r="AZ120" s="25">
        <f>IF(Table1[[#This Row],[Adjusted_ULife_PF]]=6,VLOOKUP(Table1[[#This Row],[Item_Platform]],[1]!Table2[#All],9,FALSE),0)</f>
        <v>2960.7340277760022</v>
      </c>
      <c r="BA120" s="25">
        <f>SUM(Table1[[#This Row],[yr 6_wl]:[yr 6_pf]])</f>
        <v>3750.2631018496027</v>
      </c>
      <c r="BB120" s="25">
        <f>IF(Table1[[#This Row],[Years_Next_Rehab_Well]]=7,VLOOKUP(Table1[[#This Row],[Item_Rehab_WL]],[1]!Table2[#All],10,FALSE),0)</f>
        <v>0</v>
      </c>
      <c r="BC120" s="25">
        <f>IF(Table1[[#This Row],[Adjusted_ULife_HP]]=7,VLOOKUP(Table1[[#This Row],[Item_Handpump]],[1]!Table2[#All],10,FALSE),0)</f>
        <v>0</v>
      </c>
      <c r="BD120" s="25">
        <f>IF(Table1[[#This Row],[Adjusted_ULife_PF]]=7,VLOOKUP(Table1[[#This Row],[Item_Platform]],[1]!Table2[#All],10,FALSE),0)</f>
        <v>0</v>
      </c>
      <c r="BE120" s="25">
        <f>SUM(Table1[[#This Row],[yr 7_wl]:[yr 7_pf]])</f>
        <v>0</v>
      </c>
      <c r="BF120" s="25">
        <f>IF(Table1[[#This Row],[Years_Next_Rehab_Well]]=8,VLOOKUP(Table1[[#This Row],[Item_Rehab_WL]],[1]!Table2[#All],11,FALSE),0)</f>
        <v>0</v>
      </c>
      <c r="BG120" s="25">
        <f>IF(Table1[[#This Row],[Adjusted_ULife_HP]]=8,VLOOKUP(Table1[[#This Row],[Item_Handpump]],[1]!Table2[#All],11,FALSE),0)</f>
        <v>0</v>
      </c>
      <c r="BH120" s="25">
        <f>IF(Table1[[#This Row],[Adjusted_ULife_PF]]=8,VLOOKUP(Table1[[#This Row],[Item_Platform]],[1]!Table2[#All],11,FALSE),0)</f>
        <v>0</v>
      </c>
      <c r="BI120" s="25">
        <f>SUM(Table1[[#This Row],[yr 8_wl]:[yr 8_pf]])</f>
        <v>0</v>
      </c>
      <c r="BJ120" s="25">
        <f>IF(Table1[[#This Row],[Years_Next_Rehab_Well]]=9,VLOOKUP(Table1[[#This Row],[Item_Rehab_WL]],[1]!Table2[#All],12,FALSE),0)</f>
        <v>0</v>
      </c>
      <c r="BK120" s="25">
        <f>IF(Table1[[#This Row],[Adjusted_ULife_HP]]=9,VLOOKUP(Table1[[#This Row],[Item_Handpump]],[1]!Table2[#All],12,FALSE),0)</f>
        <v>0</v>
      </c>
      <c r="BL120" s="25">
        <f>IF(Table1[[#This Row],[Adjusted_ULife_PF]]=9,VLOOKUP(Table1[[#This Row],[Item_Platform]],[1]!Table2[#All],12,FALSE),0)</f>
        <v>0</v>
      </c>
      <c r="BM120" s="25">
        <f>SUM(Table1[[#This Row],[yr 9_wl]:[yr 9_pf]])</f>
        <v>0</v>
      </c>
      <c r="BN120" s="25">
        <f>IF(Table1[[#This Row],[Years_Next_Rehab_Well]]=10,VLOOKUP(Table1[[#This Row],[Item_Rehab_WL]],[1]!Table2[#All],13,FALSE),0)</f>
        <v>0</v>
      </c>
      <c r="BO120" s="25">
        <f>IF(Table1[[#This Row],[Adjusted_ULife_HP]]=10,VLOOKUP(Table1[[#This Row],[Item_Handpump]],[1]!Table2[#All],13,FALSE),0)</f>
        <v>0</v>
      </c>
      <c r="BP120" s="25">
        <f>IF(Table1[[#This Row],[Adjusted_ULife_PF]]=10,VLOOKUP(Table1[[#This Row],[Item_Platform]],[1]!Table2[#All],13,FALSE),0)</f>
        <v>0</v>
      </c>
      <c r="BQ120" s="25">
        <f>SUM(Table1[[#This Row],[yr 10_wl]:[yr 10_pf]])</f>
        <v>0</v>
      </c>
      <c r="BR120" s="25">
        <f>IF(Table1[[#This Row],[Years_Next_Rehab_Well]]=11,VLOOKUP(Table1[[#This Row],[Item_Rehab_WL]],[1]!Table2[#All],14,FALSE),0)</f>
        <v>12754.683308933567</v>
      </c>
      <c r="BS120" s="25">
        <f>IF(Table1[[#This Row],[Adjusted_ULife_HP]]=11,VLOOKUP(Table1[[#This Row],[Item_Handpump]],[1]!Table2[#All],14,FALSE),0)</f>
        <v>0</v>
      </c>
      <c r="BT120" s="25">
        <f>IF(Table1[[#This Row],[Adjusted_ULife_PF]]=11,VLOOKUP(Table1[[#This Row],[Item_Platform]],[1]!Table2[#All],14,FALSE),0)</f>
        <v>0</v>
      </c>
      <c r="BU120" s="25">
        <f>SUM(Table1[[#This Row],[yr 11_wl]:[yr 11_pf]])</f>
        <v>12754.683308933567</v>
      </c>
      <c r="BV120" s="25">
        <f>IF(Table1[[#This Row],[Years_Next_Rehab_Well]]=12,VLOOKUP(Table1[[#This Row],[Item_Rehab_WL]],[1]!Table2[#All],15,FALSE),0)</f>
        <v>0</v>
      </c>
      <c r="BW120" s="25">
        <f>IF(Table1[[#This Row],[Adjusted_ULife_HP]]=12,VLOOKUP(Table1[[#This Row],[Item_Handpump]],[1]!Table2[#All],15,FALSE),0)</f>
        <v>0</v>
      </c>
      <c r="BX120" s="25">
        <f>IF(Table1[[#This Row],[Adjusted_ULife_PF]]=12,VLOOKUP(Table1[[#This Row],[Item_Platform]],[1]!Table2[#All],15,FALSE),0)</f>
        <v>0</v>
      </c>
      <c r="BY120" s="25">
        <f>SUM(Table1[[#This Row],[yr 12_wl]:[yr 12_pf]])</f>
        <v>0</v>
      </c>
      <c r="BZ120" s="25">
        <f>IF(Table1[[#This Row],[Years_Next_Rehab_Well]]=13,VLOOKUP(Table1[[#This Row],[Item_Rehab_WL]],[1]!Table2[#All],16,FALSE),0)</f>
        <v>0</v>
      </c>
      <c r="CA120" s="25">
        <f>IF(Table1[[#This Row],[Adjusted_ULife_HP]]=13,VLOOKUP(Table1[[#This Row],[Item_Handpump]],[1]!Table2[#All],16,FALSE),0)</f>
        <v>0</v>
      </c>
      <c r="CB120" s="25">
        <f>IF(Table1[[#This Row],[Adjusted_ULife_PF]]=13,VLOOKUP(Table1[[#This Row],[Item_Platform]],[1]!Table2[#All],16,FALSE),0)</f>
        <v>0</v>
      </c>
      <c r="CC120" s="25">
        <f>SUM(Table1[[#This Row],[yr 13_wl]:[yr 13_pf]])</f>
        <v>0</v>
      </c>
      <c r="CD120" s="12"/>
    </row>
    <row r="121" spans="1:82" s="11" customFormat="1" x14ac:dyDescent="0.25">
      <c r="A121" s="11" t="str">
        <f>IF([1]Input_monitoring_data!A117="","",[1]Input_monitoring_data!A117)</f>
        <v>m8a2-7tht-nepj</v>
      </c>
      <c r="B121" s="22" t="str">
        <f>[1]Input_monitoring_data!BH117</f>
        <v>Goamu</v>
      </c>
      <c r="C121" s="22" t="str">
        <f>[1]Input_monitoring_data!BI117</f>
        <v>Goamu Camp</v>
      </c>
      <c r="D121" s="22" t="str">
        <f>[1]Input_monitoring_data!P117</f>
        <v>7.0384501986335035</v>
      </c>
      <c r="E121" s="22" t="str">
        <f>[1]Input_monitoring_data!Q117</f>
        <v>-2.5099902432614196</v>
      </c>
      <c r="F121" s="22" t="str">
        <f>[1]Input_monitoring_data!V117</f>
        <v>Charles Kusi House</v>
      </c>
      <c r="G121" s="23" t="str">
        <f>[1]Input_monitoring_data!U117</f>
        <v>Borehole</v>
      </c>
      <c r="H121" s="22">
        <f>[1]Input_monitoring_data!X117</f>
        <v>2004</v>
      </c>
      <c r="I121" s="21" t="str">
        <f>[1]Input_monitoring_data!AB117</f>
        <v>Borehole redevelopment</v>
      </c>
      <c r="J121" s="21">
        <f>[1]Input_monitoring_data!AC117</f>
        <v>0</v>
      </c>
      <c r="K121" s="23" t="str">
        <f>[1]Input_monitoring_data!W117</f>
        <v>AfriDev</v>
      </c>
      <c r="L121" s="22">
        <f>[1]Input_monitoring_data!X117</f>
        <v>2004</v>
      </c>
      <c r="M121" s="21">
        <f>IF([1]Input_monitoring_data!BL117&gt;'Point Sources_Asset_Register_'!L121,[1]Input_monitoring_data!BL117,"")</f>
        <v>2017</v>
      </c>
      <c r="N121" s="22" t="str">
        <f>[1]Input_monitoring_data!BQ117</f>
        <v>partially functional</v>
      </c>
      <c r="O121" s="22">
        <f>[1]Input_monitoring_data!AJ117</f>
        <v>0</v>
      </c>
      <c r="P121" s="23" t="s">
        <v>0</v>
      </c>
      <c r="Q121" s="22">
        <f>L121</f>
        <v>2004</v>
      </c>
      <c r="R121" s="21">
        <f>M121</f>
        <v>2017</v>
      </c>
      <c r="S121" s="20">
        <f>[1]Input_EUL_CRC_ERC!$B$17-Table1[[#This Row],[Year Installed_WL]]</f>
        <v>13</v>
      </c>
      <c r="T121" s="20">
        <f>[1]Input_EUL_CRC_ERC!$B$17-(IF(Table1[[#This Row],[Year Last_Rehab_WL ]]=0,Table1[[#This Row],[Year Installed_WL]],[1]Input_EUL_CRC_ERC!$B$17-Table1[[#This Row],[Year Last_Rehab_WL ]]))</f>
        <v>13</v>
      </c>
      <c r="U121" s="20">
        <f>(VLOOKUP(Table1[[#This Row],[Item_Rehab_WL]],[1]Input_EUL_CRC_ERC!$C$17:$E$27,2,FALSE)-Table1[[#This Row],[Last Rehab Age]])</f>
        <v>2</v>
      </c>
      <c r="V121" s="19">
        <f>[1]Input_EUL_CRC_ERC!$B$17-Table1[[#This Row],[Year Installed_HP]]</f>
        <v>13</v>
      </c>
      <c r="W121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21" s="19">
        <f>[1]Input_EUL_CRC_ERC!$B$17-Table1[[#This Row],[Year Installed_PF]]</f>
        <v>13</v>
      </c>
      <c r="Y121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21" s="25">
        <f>IF(Table1[[#This Row],[Years_Next_Rehab_Well]]&lt;=0,VLOOKUP(Table1[[#This Row],[Item_Rehab_WL]],[1]!Table2[#All],3,FALSE),0)</f>
        <v>0</v>
      </c>
      <c r="AA121" s="18">
        <f>IF(Table1[[#This Row],[Adjusted_ULife_HP]]&lt;=0,VLOOKUP(Table1[[#This Row],[Item_Handpump]],[1]!Table2[#All],3,FALSE),0)</f>
        <v>0</v>
      </c>
      <c r="AB121" s="18">
        <f>IF(Table1[[#This Row],[Adjusted_ULife_PF]]&lt;=0,VLOOKUP(Table1[[#This Row],[Item_Platform]],[1]!Table2[#All],3,FALSE),0)</f>
        <v>0</v>
      </c>
      <c r="AC121" s="18">
        <f>SUM(Table1[[#This Row],[current yr_wl]:[current yr_pf]])</f>
        <v>0</v>
      </c>
      <c r="AD121" s="25">
        <f>IF(Table1[[#This Row],[Years_Next_Rehab_Well]]=1,VLOOKUP(Table1[[#This Row],[Item_Rehab_WL]],[1]!Table2[#All],4,FALSE),0)</f>
        <v>0</v>
      </c>
      <c r="AE121" s="25">
        <f>IF(Table1[[#This Row],[Adjusted_ULife_HP]]=1,VLOOKUP(Table1[[#This Row],[Item_Handpump]],[1]!Table2[#All],4,FALSE),0)</f>
        <v>0</v>
      </c>
      <c r="AF121" s="25">
        <f>IF(Table1[[#This Row],[Adjusted_ULife_PF]]=1,VLOOKUP(Table1[[#This Row],[Item_Platform]],[1]!Table2[#All],4,FALSE),0)</f>
        <v>0</v>
      </c>
      <c r="AG121" s="25">
        <f>SUM(Table1[[#This Row],[yr 1_wl]:[yr 1_pf]])</f>
        <v>0</v>
      </c>
      <c r="AH121" s="25">
        <f>IF(Table1[[#This Row],[Years_Next_Rehab_Well]]=2,VLOOKUP(Table1[[#This Row],[Item_Rehab_WL]],[1]!Table2[#All],5,FALSE),0)</f>
        <v>4599.4666666666672</v>
      </c>
      <c r="AI121" s="25">
        <f>IF(Table1[[#This Row],[Adjusted_ULife_HP]]=2,VLOOKUP(Table1[[#This Row],[Item_Handpump]],[1]!Table2[#All],5,FALSE),0)</f>
        <v>0</v>
      </c>
      <c r="AJ121" s="25">
        <f>IF(Table1[[#This Row],[Adjusted_ULife_PF]]=2,VLOOKUP(Table1[[#This Row],[Item_Platform]],[1]!Table2[#All],5,FALSE),0)</f>
        <v>0</v>
      </c>
      <c r="AK121" s="25">
        <f>SUM(Table1[[#This Row],[yr 2_wl]:[yr 2_pf]])</f>
        <v>4599.4666666666672</v>
      </c>
      <c r="AL121" s="25">
        <f>IF(Table1[[#This Row],[Years_Next_Rehab_Well]]=3,VLOOKUP(Table1[[#This Row],[Item_Rehab_WL]],[1]!Table2[#All],6,FALSE),0)</f>
        <v>0</v>
      </c>
      <c r="AM121" s="25">
        <f>IF(Table1[[#This Row],[Adjusted_ULife_HP]]=3,VLOOKUP(Table1[[#This Row],[Item_Handpump]],[1]!Table2[#All],6,FALSE),0)</f>
        <v>0</v>
      </c>
      <c r="AN121" s="25">
        <f>IF(Table1[[#This Row],[Adjusted_ULife_PF]]=3,VLOOKUP(Table1[[#This Row],[Item_Platform]],[1]!Table2[#All],6,FALSE),0)</f>
        <v>0</v>
      </c>
      <c r="AO121" s="25">
        <f>SUM(Table1[[#This Row],[yr 3_wl]:[yr 3_pf]])</f>
        <v>0</v>
      </c>
      <c r="AP121" s="25">
        <f>IF(Table1[[#This Row],[Years_Next_Rehab_Well]]=4,VLOOKUP(Table1[[#This Row],[Item_Rehab_WL]],[1]!Table2[#All],7,FALSE),0)</f>
        <v>0</v>
      </c>
      <c r="AQ121" s="25">
        <f>IF(Table1[[#This Row],[Adjusted_ULife_HP]]=4,VLOOKUP(Table1[[#This Row],[Item_Handpump]],[1]!Table2[#All],7,FALSE),0)</f>
        <v>0</v>
      </c>
      <c r="AR121" s="25">
        <f>IF(Table1[[#This Row],[Adjusted_ULife_PF]]=4,VLOOKUP(Table1[[#This Row],[Item_Platform]],[1]!Table2[#All],7,FALSE),0)</f>
        <v>0</v>
      </c>
      <c r="AS121" s="25">
        <f>SUM(Table1[[#This Row],[yr 4_wl]:[yr 4_pf]])</f>
        <v>0</v>
      </c>
      <c r="AT121" s="25">
        <f>IF(Table1[[#This Row],[Years_Next_Rehab_Well]]=5,VLOOKUP(Table1[[#This Row],[Item_Rehab_WL]],[1]!Table2[#All],8,FALSE),0)</f>
        <v>0</v>
      </c>
      <c r="AU121" s="25">
        <f>IF(Table1[[#This Row],[Adjusted_ULife_HP]]=5,VLOOKUP(Table1[[#This Row],[Item_Handpump]],[1]!Table2[#All],8,FALSE),0)</f>
        <v>0</v>
      </c>
      <c r="AV121" s="25">
        <f>IF(Table1[[#This Row],[Adjusted_ULife_PF]]=5,VLOOKUP(Table1[[#This Row],[Item_Platform]],[1]!Table2[#All],8,FALSE),0)</f>
        <v>0</v>
      </c>
      <c r="AW121" s="25">
        <f>SUM(Table1[[#This Row],[yr 5_wl]:[yr 5_pf]])</f>
        <v>0</v>
      </c>
      <c r="AX121" s="25">
        <f>IF(Table1[[#This Row],[Years_Next_Rehab_Well]]=6,VLOOKUP(Table1[[#This Row],[Item_Rehab_WL]],[1]!Table2[#All],9,FALSE),0)</f>
        <v>0</v>
      </c>
      <c r="AY121" s="25">
        <f>IF(Table1[[#This Row],[Adjusted_ULife_HP]]=6,VLOOKUP(Table1[[#This Row],[Item_Handpump]],[1]!Table2[#All],9,FALSE),0)</f>
        <v>0</v>
      </c>
      <c r="AZ121" s="25">
        <f>IF(Table1[[#This Row],[Adjusted_ULife_PF]]=6,VLOOKUP(Table1[[#This Row],[Item_Platform]],[1]!Table2[#All],9,FALSE),0)</f>
        <v>0</v>
      </c>
      <c r="BA121" s="25">
        <f>SUM(Table1[[#This Row],[yr 6_wl]:[yr 6_pf]])</f>
        <v>0</v>
      </c>
      <c r="BB121" s="25">
        <f>IF(Table1[[#This Row],[Years_Next_Rehab_Well]]=7,VLOOKUP(Table1[[#This Row],[Item_Rehab_WL]],[1]!Table2[#All],10,FALSE),0)</f>
        <v>0</v>
      </c>
      <c r="BC121" s="25">
        <f>IF(Table1[[#This Row],[Adjusted_ULife_HP]]=7,VLOOKUP(Table1[[#This Row],[Item_Handpump]],[1]!Table2[#All],10,FALSE),0)</f>
        <v>0</v>
      </c>
      <c r="BD121" s="25">
        <f>IF(Table1[[#This Row],[Adjusted_ULife_PF]]=7,VLOOKUP(Table1[[#This Row],[Item_Platform]],[1]!Table2[#All],10,FALSE),0)</f>
        <v>0</v>
      </c>
      <c r="BE121" s="25">
        <f>SUM(Table1[[#This Row],[yr 7_wl]:[yr 7_pf]])</f>
        <v>0</v>
      </c>
      <c r="BF121" s="25">
        <f>IF(Table1[[#This Row],[Years_Next_Rehab_Well]]=8,VLOOKUP(Table1[[#This Row],[Item_Rehab_WL]],[1]!Table2[#All],11,FALSE),0)</f>
        <v>0</v>
      </c>
      <c r="BG121" s="25">
        <f>IF(Table1[[#This Row],[Adjusted_ULife_HP]]=8,VLOOKUP(Table1[[#This Row],[Item_Handpump]],[1]!Table2[#All],11,FALSE),0)</f>
        <v>0</v>
      </c>
      <c r="BH121" s="25">
        <f>IF(Table1[[#This Row],[Adjusted_ULife_PF]]=8,VLOOKUP(Table1[[#This Row],[Item_Platform]],[1]!Table2[#All],11,FALSE),0)</f>
        <v>0</v>
      </c>
      <c r="BI121" s="25">
        <f>SUM(Table1[[#This Row],[yr 8_wl]:[yr 8_pf]])</f>
        <v>0</v>
      </c>
      <c r="BJ121" s="25">
        <f>IF(Table1[[#This Row],[Years_Next_Rehab_Well]]=9,VLOOKUP(Table1[[#This Row],[Item_Rehab_WL]],[1]!Table2[#All],12,FALSE),0)</f>
        <v>0</v>
      </c>
      <c r="BK121" s="25">
        <f>IF(Table1[[#This Row],[Adjusted_ULife_HP]]=9,VLOOKUP(Table1[[#This Row],[Item_Handpump]],[1]!Table2[#All],12,FALSE),0)</f>
        <v>0</v>
      </c>
      <c r="BL121" s="25">
        <f>IF(Table1[[#This Row],[Adjusted_ULife_PF]]=9,VLOOKUP(Table1[[#This Row],[Item_Platform]],[1]!Table2[#All],12,FALSE),0)</f>
        <v>0</v>
      </c>
      <c r="BM121" s="25">
        <f>SUM(Table1[[#This Row],[yr 9_wl]:[yr 9_pf]])</f>
        <v>0</v>
      </c>
      <c r="BN121" s="25">
        <f>IF(Table1[[#This Row],[Years_Next_Rehab_Well]]=10,VLOOKUP(Table1[[#This Row],[Item_Rehab_WL]],[1]!Table2[#All],13,FALSE),0)</f>
        <v>0</v>
      </c>
      <c r="BO121" s="25">
        <f>IF(Table1[[#This Row],[Adjusted_ULife_HP]]=10,VLOOKUP(Table1[[#This Row],[Item_Handpump]],[1]!Table2[#All],13,FALSE),0)</f>
        <v>0</v>
      </c>
      <c r="BP121" s="25">
        <f>IF(Table1[[#This Row],[Adjusted_ULife_PF]]=10,VLOOKUP(Table1[[#This Row],[Item_Platform]],[1]!Table2[#All],13,FALSE),0)</f>
        <v>4658.7723125163184</v>
      </c>
      <c r="BQ121" s="25">
        <f>SUM(Table1[[#This Row],[yr 10_wl]:[yr 10_pf]])</f>
        <v>4658.7723125163184</v>
      </c>
      <c r="BR121" s="25">
        <f>IF(Table1[[#This Row],[Years_Next_Rehab_Well]]=11,VLOOKUP(Table1[[#This Row],[Item_Rehab_WL]],[1]!Table2[#All],14,FALSE),0)</f>
        <v>0</v>
      </c>
      <c r="BS121" s="25">
        <f>IF(Table1[[#This Row],[Adjusted_ULife_HP]]=11,VLOOKUP(Table1[[#This Row],[Item_Handpump]],[1]!Table2[#All],14,FALSE),0)</f>
        <v>0</v>
      </c>
      <c r="BT121" s="25">
        <f>IF(Table1[[#This Row],[Adjusted_ULife_PF]]=11,VLOOKUP(Table1[[#This Row],[Item_Platform]],[1]!Table2[#All],14,FALSE),0)</f>
        <v>0</v>
      </c>
      <c r="BU121" s="25">
        <f>SUM(Table1[[#This Row],[yr 11_wl]:[yr 11_pf]])</f>
        <v>0</v>
      </c>
      <c r="BV121" s="25">
        <f>IF(Table1[[#This Row],[Years_Next_Rehab_Well]]=12,VLOOKUP(Table1[[#This Row],[Item_Rehab_WL]],[1]!Table2[#All],15,FALSE),0)</f>
        <v>0</v>
      </c>
      <c r="BW121" s="25">
        <f>IF(Table1[[#This Row],[Adjusted_ULife_HP]]=12,VLOOKUP(Table1[[#This Row],[Item_Handpump]],[1]!Table2[#All],15,FALSE),0)</f>
        <v>0</v>
      </c>
      <c r="BX121" s="25">
        <f>IF(Table1[[#This Row],[Adjusted_ULife_PF]]=12,VLOOKUP(Table1[[#This Row],[Item_Platform]],[1]!Table2[#All],15,FALSE),0)</f>
        <v>0</v>
      </c>
      <c r="BY121" s="25">
        <f>SUM(Table1[[#This Row],[yr 12_wl]:[yr 12_pf]])</f>
        <v>0</v>
      </c>
      <c r="BZ121" s="25">
        <f>IF(Table1[[#This Row],[Years_Next_Rehab_Well]]=13,VLOOKUP(Table1[[#This Row],[Item_Rehab_WL]],[1]!Table2[#All],16,FALSE),0)</f>
        <v>0</v>
      </c>
      <c r="CA121" s="25">
        <f>IF(Table1[[#This Row],[Adjusted_ULife_HP]]=13,VLOOKUP(Table1[[#This Row],[Item_Handpump]],[1]!Table2[#All],16,FALSE),0)</f>
        <v>0</v>
      </c>
      <c r="CB121" s="25">
        <f>IF(Table1[[#This Row],[Adjusted_ULife_PF]]=13,VLOOKUP(Table1[[#This Row],[Item_Platform]],[1]!Table2[#All],16,FALSE),0)</f>
        <v>0</v>
      </c>
      <c r="CC121" s="25">
        <f>SUM(Table1[[#This Row],[yr 13_wl]:[yr 13_pf]])</f>
        <v>0</v>
      </c>
      <c r="CD121" s="12"/>
    </row>
    <row r="122" spans="1:82" s="11" customFormat="1" x14ac:dyDescent="0.25">
      <c r="A122" s="11" t="str">
        <f>IF([1]Input_monitoring_data!A118="","",[1]Input_monitoring_data!A118)</f>
        <v>mpx5-7xjv-a8hp</v>
      </c>
      <c r="B122" s="22" t="str">
        <f>[1]Input_monitoring_data!BH118</f>
        <v>Kenyasi No.2</v>
      </c>
      <c r="C122" s="22" t="str">
        <f>[1]Input_monitoring_data!BI118</f>
        <v>Horonase</v>
      </c>
      <c r="D122" s="22" t="str">
        <f>[1]Input_monitoring_data!P118</f>
        <v>7.067648721379732</v>
      </c>
      <c r="E122" s="22" t="str">
        <f>[1]Input_monitoring_data!Q118</f>
        <v>-2.405785269771507</v>
      </c>
      <c r="F122" s="22" t="str">
        <f>[1]Input_monitoring_data!V118</f>
        <v>Inbetween Chief And Aboaa Village</v>
      </c>
      <c r="G122" s="23" t="str">
        <f>[1]Input_monitoring_data!U118</f>
        <v>Borehole</v>
      </c>
      <c r="H122" s="22">
        <f>[1]Input_monitoring_data!X118</f>
        <v>2007</v>
      </c>
      <c r="I122" s="21" t="str">
        <f>[1]Input_monitoring_data!AB118</f>
        <v>Borehole redevelopment</v>
      </c>
      <c r="J122" s="21">
        <f>[1]Input_monitoring_data!AC118</f>
        <v>0</v>
      </c>
      <c r="K122" s="23" t="str">
        <f>[1]Input_monitoring_data!W118</f>
        <v>AfriDev</v>
      </c>
      <c r="L122" s="22">
        <f>[1]Input_monitoring_data!X118</f>
        <v>2007</v>
      </c>
      <c r="M122" s="21">
        <f>IF([1]Input_monitoring_data!BL118&gt;'Point Sources_Asset_Register_'!L122,[1]Input_monitoring_data!BL118,"")</f>
        <v>2016</v>
      </c>
      <c r="N122" s="22" t="str">
        <f>[1]Input_monitoring_data!BQ118</f>
        <v>partially functional</v>
      </c>
      <c r="O122" s="22">
        <f>[1]Input_monitoring_data!AJ118</f>
        <v>0</v>
      </c>
      <c r="P122" s="23" t="s">
        <v>0</v>
      </c>
      <c r="Q122" s="22">
        <f>L122</f>
        <v>2007</v>
      </c>
      <c r="R122" s="21">
        <f>M122</f>
        <v>2016</v>
      </c>
      <c r="S122" s="20">
        <f>[1]Input_EUL_CRC_ERC!$B$17-Table1[[#This Row],[Year Installed_WL]]</f>
        <v>10</v>
      </c>
      <c r="T122" s="20">
        <f>[1]Input_EUL_CRC_ERC!$B$17-(IF(Table1[[#This Row],[Year Last_Rehab_WL ]]=0,Table1[[#This Row],[Year Installed_WL]],[1]Input_EUL_CRC_ERC!$B$17-Table1[[#This Row],[Year Last_Rehab_WL ]]))</f>
        <v>10</v>
      </c>
      <c r="U122" s="20">
        <f>(VLOOKUP(Table1[[#This Row],[Item_Rehab_WL]],[1]Input_EUL_CRC_ERC!$C$17:$E$27,2,FALSE)-Table1[[#This Row],[Last Rehab Age]])</f>
        <v>5</v>
      </c>
      <c r="V122" s="19">
        <f>[1]Input_EUL_CRC_ERC!$B$17-Table1[[#This Row],[Year Installed_HP]]</f>
        <v>10</v>
      </c>
      <c r="W122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22" s="19">
        <f>[1]Input_EUL_CRC_ERC!$B$17-Table1[[#This Row],[Year Installed_PF]]</f>
        <v>10</v>
      </c>
      <c r="Y122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22" s="25">
        <f>IF(Table1[[#This Row],[Years_Next_Rehab_Well]]&lt;=0,VLOOKUP(Table1[[#This Row],[Item_Rehab_WL]],[1]!Table2[#All],3,FALSE),0)</f>
        <v>0</v>
      </c>
      <c r="AA122" s="18">
        <f>IF(Table1[[#This Row],[Adjusted_ULife_HP]]&lt;=0,VLOOKUP(Table1[[#This Row],[Item_Handpump]],[1]!Table2[#All],3,FALSE),0)</f>
        <v>0</v>
      </c>
      <c r="AB122" s="18">
        <f>IF(Table1[[#This Row],[Adjusted_ULife_PF]]&lt;=0,VLOOKUP(Table1[[#This Row],[Item_Platform]],[1]!Table2[#All],3,FALSE),0)</f>
        <v>0</v>
      </c>
      <c r="AC122" s="18">
        <f>SUM(Table1[[#This Row],[current yr_wl]:[current yr_pf]])</f>
        <v>0</v>
      </c>
      <c r="AD122" s="25">
        <f>IF(Table1[[#This Row],[Years_Next_Rehab_Well]]=1,VLOOKUP(Table1[[#This Row],[Item_Rehab_WL]],[1]!Table2[#All],4,FALSE),0)</f>
        <v>0</v>
      </c>
      <c r="AE122" s="25">
        <f>IF(Table1[[#This Row],[Adjusted_ULife_HP]]=1,VLOOKUP(Table1[[#This Row],[Item_Handpump]],[1]!Table2[#All],4,FALSE),0)</f>
        <v>0</v>
      </c>
      <c r="AF122" s="25">
        <f>IF(Table1[[#This Row],[Adjusted_ULife_PF]]=1,VLOOKUP(Table1[[#This Row],[Item_Platform]],[1]!Table2[#All],4,FALSE),0)</f>
        <v>0</v>
      </c>
      <c r="AG122" s="25">
        <f>SUM(Table1[[#This Row],[yr 1_wl]:[yr 1_pf]])</f>
        <v>0</v>
      </c>
      <c r="AH122" s="25">
        <f>IF(Table1[[#This Row],[Years_Next_Rehab_Well]]=2,VLOOKUP(Table1[[#This Row],[Item_Rehab_WL]],[1]!Table2[#All],5,FALSE),0)</f>
        <v>0</v>
      </c>
      <c r="AI122" s="25">
        <f>IF(Table1[[#This Row],[Adjusted_ULife_HP]]=2,VLOOKUP(Table1[[#This Row],[Item_Handpump]],[1]!Table2[#All],5,FALSE),0)</f>
        <v>0</v>
      </c>
      <c r="AJ122" s="25">
        <f>IF(Table1[[#This Row],[Adjusted_ULife_PF]]=2,VLOOKUP(Table1[[#This Row],[Item_Platform]],[1]!Table2[#All],5,FALSE),0)</f>
        <v>0</v>
      </c>
      <c r="AK122" s="25">
        <f>SUM(Table1[[#This Row],[yr 2_wl]:[yr 2_pf]])</f>
        <v>0</v>
      </c>
      <c r="AL122" s="25">
        <f>IF(Table1[[#This Row],[Years_Next_Rehab_Well]]=3,VLOOKUP(Table1[[#This Row],[Item_Rehab_WL]],[1]!Table2[#All],6,FALSE),0)</f>
        <v>0</v>
      </c>
      <c r="AM122" s="25">
        <f>IF(Table1[[#This Row],[Adjusted_ULife_HP]]=3,VLOOKUP(Table1[[#This Row],[Item_Handpump]],[1]!Table2[#All],6,FALSE),0)</f>
        <v>0</v>
      </c>
      <c r="AN122" s="25">
        <f>IF(Table1[[#This Row],[Adjusted_ULife_PF]]=3,VLOOKUP(Table1[[#This Row],[Item_Platform]],[1]!Table2[#All],6,FALSE),0)</f>
        <v>0</v>
      </c>
      <c r="AO122" s="25">
        <f>SUM(Table1[[#This Row],[yr 3_wl]:[yr 3_pf]])</f>
        <v>0</v>
      </c>
      <c r="AP122" s="25">
        <f>IF(Table1[[#This Row],[Years_Next_Rehab_Well]]=4,VLOOKUP(Table1[[#This Row],[Item_Rehab_WL]],[1]!Table2[#All],7,FALSE),0)</f>
        <v>0</v>
      </c>
      <c r="AQ122" s="25">
        <f>IF(Table1[[#This Row],[Adjusted_ULife_HP]]=4,VLOOKUP(Table1[[#This Row],[Item_Handpump]],[1]!Table2[#All],7,FALSE),0)</f>
        <v>0</v>
      </c>
      <c r="AR122" s="25">
        <f>IF(Table1[[#This Row],[Adjusted_ULife_PF]]=4,VLOOKUP(Table1[[#This Row],[Item_Platform]],[1]!Table2[#All],7,FALSE),0)</f>
        <v>0</v>
      </c>
      <c r="AS122" s="25">
        <f>SUM(Table1[[#This Row],[yr 4_wl]:[yr 4_pf]])</f>
        <v>0</v>
      </c>
      <c r="AT122" s="25">
        <f>IF(Table1[[#This Row],[Years_Next_Rehab_Well]]=5,VLOOKUP(Table1[[#This Row],[Item_Rehab_WL]],[1]!Table2[#All],8,FALSE),0)</f>
        <v>6461.9195050666694</v>
      </c>
      <c r="AU122" s="25">
        <f>IF(Table1[[#This Row],[Adjusted_ULife_HP]]=5,VLOOKUP(Table1[[#This Row],[Item_Handpump]],[1]!Table2[#All],8,FALSE),0)</f>
        <v>0</v>
      </c>
      <c r="AV122" s="25">
        <f>IF(Table1[[#This Row],[Adjusted_ULife_PF]]=5,VLOOKUP(Table1[[#This Row],[Item_Platform]],[1]!Table2[#All],8,FALSE),0)</f>
        <v>0</v>
      </c>
      <c r="AW122" s="25">
        <f>SUM(Table1[[#This Row],[yr 5_wl]:[yr 5_pf]])</f>
        <v>6461.9195050666694</v>
      </c>
      <c r="AX122" s="25">
        <f>IF(Table1[[#This Row],[Years_Next_Rehab_Well]]=6,VLOOKUP(Table1[[#This Row],[Item_Rehab_WL]],[1]!Table2[#All],9,FALSE),0)</f>
        <v>0</v>
      </c>
      <c r="AY122" s="25">
        <f>IF(Table1[[#This Row],[Adjusted_ULife_HP]]=6,VLOOKUP(Table1[[#This Row],[Item_Handpump]],[1]!Table2[#All],9,FALSE),0)</f>
        <v>0</v>
      </c>
      <c r="AZ122" s="25">
        <f>IF(Table1[[#This Row],[Adjusted_ULife_PF]]=6,VLOOKUP(Table1[[#This Row],[Item_Platform]],[1]!Table2[#All],9,FALSE),0)</f>
        <v>0</v>
      </c>
      <c r="BA122" s="25">
        <f>SUM(Table1[[#This Row],[yr 6_wl]:[yr 6_pf]])</f>
        <v>0</v>
      </c>
      <c r="BB122" s="25">
        <f>IF(Table1[[#This Row],[Years_Next_Rehab_Well]]=7,VLOOKUP(Table1[[#This Row],[Item_Rehab_WL]],[1]!Table2[#All],10,FALSE),0)</f>
        <v>0</v>
      </c>
      <c r="BC122" s="25">
        <f>IF(Table1[[#This Row],[Adjusted_ULife_HP]]=7,VLOOKUP(Table1[[#This Row],[Item_Handpump]],[1]!Table2[#All],10,FALSE),0)</f>
        <v>0</v>
      </c>
      <c r="BD122" s="25">
        <f>IF(Table1[[#This Row],[Adjusted_ULife_PF]]=7,VLOOKUP(Table1[[#This Row],[Item_Platform]],[1]!Table2[#All],10,FALSE),0)</f>
        <v>0</v>
      </c>
      <c r="BE122" s="25">
        <f>SUM(Table1[[#This Row],[yr 7_wl]:[yr 7_pf]])</f>
        <v>0</v>
      </c>
      <c r="BF122" s="25">
        <f>IF(Table1[[#This Row],[Years_Next_Rehab_Well]]=8,VLOOKUP(Table1[[#This Row],[Item_Rehab_WL]],[1]!Table2[#All],11,FALSE),0)</f>
        <v>0</v>
      </c>
      <c r="BG122" s="25">
        <f>IF(Table1[[#This Row],[Adjusted_ULife_HP]]=8,VLOOKUP(Table1[[#This Row],[Item_Handpump]],[1]!Table2[#All],11,FALSE),0)</f>
        <v>0</v>
      </c>
      <c r="BH122" s="25">
        <f>IF(Table1[[#This Row],[Adjusted_ULife_PF]]=8,VLOOKUP(Table1[[#This Row],[Item_Platform]],[1]!Table2[#All],11,FALSE),0)</f>
        <v>0</v>
      </c>
      <c r="BI122" s="25">
        <f>SUM(Table1[[#This Row],[yr 8_wl]:[yr 8_pf]])</f>
        <v>0</v>
      </c>
      <c r="BJ122" s="25">
        <f>IF(Table1[[#This Row],[Years_Next_Rehab_Well]]=9,VLOOKUP(Table1[[#This Row],[Item_Rehab_WL]],[1]!Table2[#All],12,FALSE),0)</f>
        <v>0</v>
      </c>
      <c r="BK122" s="25">
        <f>IF(Table1[[#This Row],[Adjusted_ULife_HP]]=9,VLOOKUP(Table1[[#This Row],[Item_Handpump]],[1]!Table2[#All],12,FALSE),0)</f>
        <v>0</v>
      </c>
      <c r="BL122" s="25">
        <f>IF(Table1[[#This Row],[Adjusted_ULife_PF]]=9,VLOOKUP(Table1[[#This Row],[Item_Platform]],[1]!Table2[#All],12,FALSE),0)</f>
        <v>4159.6181361752842</v>
      </c>
      <c r="BM122" s="25">
        <f>SUM(Table1[[#This Row],[yr 9_wl]:[yr 9_pf]])</f>
        <v>4159.6181361752842</v>
      </c>
      <c r="BN122" s="25">
        <f>IF(Table1[[#This Row],[Years_Next_Rehab_Well]]=10,VLOOKUP(Table1[[#This Row],[Item_Rehab_WL]],[1]!Table2[#All],13,FALSE),0)</f>
        <v>0</v>
      </c>
      <c r="BO122" s="25">
        <f>IF(Table1[[#This Row],[Adjusted_ULife_HP]]=10,VLOOKUP(Table1[[#This Row],[Item_Handpump]],[1]!Table2[#All],13,FALSE),0)</f>
        <v>0</v>
      </c>
      <c r="BP122" s="25">
        <f>IF(Table1[[#This Row],[Adjusted_ULife_PF]]=10,VLOOKUP(Table1[[#This Row],[Item_Platform]],[1]!Table2[#All],13,FALSE),0)</f>
        <v>0</v>
      </c>
      <c r="BQ122" s="25">
        <f>SUM(Table1[[#This Row],[yr 10_wl]:[yr 10_pf]])</f>
        <v>0</v>
      </c>
      <c r="BR122" s="25">
        <f>IF(Table1[[#This Row],[Years_Next_Rehab_Well]]=11,VLOOKUP(Table1[[#This Row],[Item_Rehab_WL]],[1]!Table2[#All],14,FALSE),0)</f>
        <v>0</v>
      </c>
      <c r="BS122" s="25">
        <f>IF(Table1[[#This Row],[Adjusted_ULife_HP]]=11,VLOOKUP(Table1[[#This Row],[Item_Handpump]],[1]!Table2[#All],14,FALSE),0)</f>
        <v>0</v>
      </c>
      <c r="BT122" s="25">
        <f>IF(Table1[[#This Row],[Adjusted_ULife_PF]]=11,VLOOKUP(Table1[[#This Row],[Item_Platform]],[1]!Table2[#All],14,FALSE),0)</f>
        <v>0</v>
      </c>
      <c r="BU122" s="25">
        <f>SUM(Table1[[#This Row],[yr 11_wl]:[yr 11_pf]])</f>
        <v>0</v>
      </c>
      <c r="BV122" s="25">
        <f>IF(Table1[[#This Row],[Years_Next_Rehab_Well]]=12,VLOOKUP(Table1[[#This Row],[Item_Rehab_WL]],[1]!Table2[#All],15,FALSE),0)</f>
        <v>0</v>
      </c>
      <c r="BW122" s="25">
        <f>IF(Table1[[#This Row],[Adjusted_ULife_HP]]=12,VLOOKUP(Table1[[#This Row],[Item_Handpump]],[1]!Table2[#All],15,FALSE),0)</f>
        <v>0</v>
      </c>
      <c r="BX122" s="25">
        <f>IF(Table1[[#This Row],[Adjusted_ULife_PF]]=12,VLOOKUP(Table1[[#This Row],[Item_Platform]],[1]!Table2[#All],15,FALSE),0)</f>
        <v>0</v>
      </c>
      <c r="BY122" s="25">
        <f>SUM(Table1[[#This Row],[yr 12_wl]:[yr 12_pf]])</f>
        <v>0</v>
      </c>
      <c r="BZ122" s="25">
        <f>IF(Table1[[#This Row],[Years_Next_Rehab_Well]]=13,VLOOKUP(Table1[[#This Row],[Item_Rehab_WL]],[1]!Table2[#All],16,FALSE),0)</f>
        <v>0</v>
      </c>
      <c r="CA122" s="25">
        <f>IF(Table1[[#This Row],[Adjusted_ULife_HP]]=13,VLOOKUP(Table1[[#This Row],[Item_Handpump]],[1]!Table2[#All],16,FALSE),0)</f>
        <v>0</v>
      </c>
      <c r="CB122" s="25">
        <f>IF(Table1[[#This Row],[Adjusted_ULife_PF]]=13,VLOOKUP(Table1[[#This Row],[Item_Platform]],[1]!Table2[#All],16,FALSE),0)</f>
        <v>0</v>
      </c>
      <c r="CC122" s="25">
        <f>SUM(Table1[[#This Row],[yr 13_wl]:[yr 13_pf]])</f>
        <v>0</v>
      </c>
      <c r="CD122" s="12"/>
    </row>
    <row r="123" spans="1:82" s="11" customFormat="1" x14ac:dyDescent="0.25">
      <c r="A123" s="11" t="str">
        <f>IF([1]Input_monitoring_data!A119="","",[1]Input_monitoring_data!A119)</f>
        <v>mrp0-9ynr-s7tt</v>
      </c>
      <c r="B123" s="22" t="str">
        <f>[1]Input_monitoring_data!BH119</f>
        <v>GOAMU</v>
      </c>
      <c r="C123" s="22" t="str">
        <f>[1]Input_monitoring_data!BI119</f>
        <v>ABOAGYAA</v>
      </c>
      <c r="D123" s="22" t="str">
        <f>[1]Input_monitoring_data!P119</f>
        <v>6.978989250619498</v>
      </c>
      <c r="E123" s="22" t="str">
        <f>[1]Input_monitoring_data!Q119</f>
        <v>-2.562072220097968</v>
      </c>
      <c r="F123" s="22" t="str">
        <f>[1]Input_monitoring_data!V119</f>
        <v>Oseikrom along abogyaa road</v>
      </c>
      <c r="G123" s="23" t="str">
        <f>[1]Input_monitoring_data!U119</f>
        <v>Borehole</v>
      </c>
      <c r="H123" s="22">
        <f>[1]Input_monitoring_data!X119</f>
        <v>2016</v>
      </c>
      <c r="I123" s="21" t="str">
        <f>[1]Input_monitoring_data!AB119</f>
        <v>Borehole redevelopment</v>
      </c>
      <c r="J123" s="21">
        <f>[1]Input_monitoring_data!AC119</f>
        <v>0</v>
      </c>
      <c r="K123" s="23" t="str">
        <f>[1]Input_monitoring_data!W119</f>
        <v>AfriDev</v>
      </c>
      <c r="L123" s="22">
        <f>[1]Input_monitoring_data!X119</f>
        <v>2016</v>
      </c>
      <c r="M123" s="21" t="str">
        <f>IF([1]Input_monitoring_data!BL119&gt;'Point Sources_Asset_Register_'!L123,[1]Input_monitoring_data!BL119,"")</f>
        <v/>
      </c>
      <c r="N123" s="22" t="str">
        <f>[1]Input_monitoring_data!BQ119</f>
        <v>functional</v>
      </c>
      <c r="O123" s="22">
        <f>[1]Input_monitoring_data!AJ119</f>
        <v>0</v>
      </c>
      <c r="P123" s="23" t="s">
        <v>0</v>
      </c>
      <c r="Q123" s="22">
        <f>L123</f>
        <v>2016</v>
      </c>
      <c r="R123" s="21" t="str">
        <f>M123</f>
        <v/>
      </c>
      <c r="S123" s="20">
        <f>[1]Input_EUL_CRC_ERC!$B$17-Table1[[#This Row],[Year Installed_WL]]</f>
        <v>1</v>
      </c>
      <c r="T123" s="20">
        <f>[1]Input_EUL_CRC_ERC!$B$17-(IF(Table1[[#This Row],[Year Last_Rehab_WL ]]=0,Table1[[#This Row],[Year Installed_WL]],[1]Input_EUL_CRC_ERC!$B$17-Table1[[#This Row],[Year Last_Rehab_WL ]]))</f>
        <v>1</v>
      </c>
      <c r="U123" s="20">
        <f>(VLOOKUP(Table1[[#This Row],[Item_Rehab_WL]],[1]Input_EUL_CRC_ERC!$C$17:$E$27,2,FALSE)-Table1[[#This Row],[Last Rehab Age]])</f>
        <v>14</v>
      </c>
      <c r="V123" s="19">
        <f>[1]Input_EUL_CRC_ERC!$B$17-Table1[[#This Row],[Year Installed_HP]]</f>
        <v>1</v>
      </c>
      <c r="W123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23" s="19">
        <f>[1]Input_EUL_CRC_ERC!$B$17-Table1[[#This Row],[Year Installed_PF]]</f>
        <v>1</v>
      </c>
      <c r="Y123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23" s="25">
        <f>IF(Table1[[#This Row],[Years_Next_Rehab_Well]]&lt;=0,VLOOKUP(Table1[[#This Row],[Item_Rehab_WL]],[1]!Table2[#All],3,FALSE),0)</f>
        <v>0</v>
      </c>
      <c r="AA123" s="18">
        <f>IF(Table1[[#This Row],[Adjusted_ULife_HP]]&lt;=0,VLOOKUP(Table1[[#This Row],[Item_Handpump]],[1]!Table2[#All],3,FALSE),0)</f>
        <v>0</v>
      </c>
      <c r="AB123" s="18">
        <f>IF(Table1[[#This Row],[Adjusted_ULife_PF]]&lt;=0,VLOOKUP(Table1[[#This Row],[Item_Platform]],[1]!Table2[#All],3,FALSE),0)</f>
        <v>0</v>
      </c>
      <c r="AC123" s="18">
        <f>SUM(Table1[[#This Row],[current yr_wl]:[current yr_pf]])</f>
        <v>0</v>
      </c>
      <c r="AD123" s="25">
        <f>IF(Table1[[#This Row],[Years_Next_Rehab_Well]]=1,VLOOKUP(Table1[[#This Row],[Item_Rehab_WL]],[1]!Table2[#All],4,FALSE),0)</f>
        <v>0</v>
      </c>
      <c r="AE123" s="25">
        <f>IF(Table1[[#This Row],[Adjusted_ULife_HP]]=1,VLOOKUP(Table1[[#This Row],[Item_Handpump]],[1]!Table2[#All],4,FALSE),0)</f>
        <v>0</v>
      </c>
      <c r="AF123" s="25">
        <f>IF(Table1[[#This Row],[Adjusted_ULife_PF]]=1,VLOOKUP(Table1[[#This Row],[Item_Platform]],[1]!Table2[#All],4,FALSE),0)</f>
        <v>0</v>
      </c>
      <c r="AG123" s="25">
        <f>SUM(Table1[[#This Row],[yr 1_wl]:[yr 1_pf]])</f>
        <v>0</v>
      </c>
      <c r="AH123" s="25">
        <f>IF(Table1[[#This Row],[Years_Next_Rehab_Well]]=2,VLOOKUP(Table1[[#This Row],[Item_Rehab_WL]],[1]!Table2[#All],5,FALSE),0)</f>
        <v>0</v>
      </c>
      <c r="AI123" s="25">
        <f>IF(Table1[[#This Row],[Adjusted_ULife_HP]]=2,VLOOKUP(Table1[[#This Row],[Item_Handpump]],[1]!Table2[#All],5,FALSE),0)</f>
        <v>0</v>
      </c>
      <c r="AJ123" s="25">
        <f>IF(Table1[[#This Row],[Adjusted_ULife_PF]]=2,VLOOKUP(Table1[[#This Row],[Item_Platform]],[1]!Table2[#All],5,FALSE),0)</f>
        <v>0</v>
      </c>
      <c r="AK123" s="25">
        <f>SUM(Table1[[#This Row],[yr 2_wl]:[yr 2_pf]])</f>
        <v>0</v>
      </c>
      <c r="AL123" s="25">
        <f>IF(Table1[[#This Row],[Years_Next_Rehab_Well]]=3,VLOOKUP(Table1[[#This Row],[Item_Rehab_WL]],[1]!Table2[#All],6,FALSE),0)</f>
        <v>0</v>
      </c>
      <c r="AM123" s="25">
        <f>IF(Table1[[#This Row],[Adjusted_ULife_HP]]=3,VLOOKUP(Table1[[#This Row],[Item_Handpump]],[1]!Table2[#All],6,FALSE),0)</f>
        <v>0</v>
      </c>
      <c r="AN123" s="25">
        <f>IF(Table1[[#This Row],[Adjusted_ULife_PF]]=3,VLOOKUP(Table1[[#This Row],[Item_Platform]],[1]!Table2[#All],6,FALSE),0)</f>
        <v>0</v>
      </c>
      <c r="AO123" s="25">
        <f>SUM(Table1[[#This Row],[yr 3_wl]:[yr 3_pf]])</f>
        <v>0</v>
      </c>
      <c r="AP123" s="25">
        <f>IF(Table1[[#This Row],[Years_Next_Rehab_Well]]=4,VLOOKUP(Table1[[#This Row],[Item_Rehab_WL]],[1]!Table2[#All],7,FALSE),0)</f>
        <v>0</v>
      </c>
      <c r="AQ123" s="25">
        <f>IF(Table1[[#This Row],[Adjusted_ULife_HP]]=4,VLOOKUP(Table1[[#This Row],[Item_Handpump]],[1]!Table2[#All],7,FALSE),0)</f>
        <v>0</v>
      </c>
      <c r="AR123" s="25">
        <f>IF(Table1[[#This Row],[Adjusted_ULife_PF]]=4,VLOOKUP(Table1[[#This Row],[Item_Platform]],[1]!Table2[#All],7,FALSE),0)</f>
        <v>0</v>
      </c>
      <c r="AS123" s="25">
        <f>SUM(Table1[[#This Row],[yr 4_wl]:[yr 4_pf]])</f>
        <v>0</v>
      </c>
      <c r="AT123" s="25">
        <f>IF(Table1[[#This Row],[Years_Next_Rehab_Well]]=5,VLOOKUP(Table1[[#This Row],[Item_Rehab_WL]],[1]!Table2[#All],8,FALSE),0)</f>
        <v>0</v>
      </c>
      <c r="AU123" s="25">
        <f>IF(Table1[[#This Row],[Adjusted_ULife_HP]]=5,VLOOKUP(Table1[[#This Row],[Item_Handpump]],[1]!Table2[#All],8,FALSE),0)</f>
        <v>0</v>
      </c>
      <c r="AV123" s="25">
        <f>IF(Table1[[#This Row],[Adjusted_ULife_PF]]=5,VLOOKUP(Table1[[#This Row],[Item_Platform]],[1]!Table2[#All],8,FALSE),0)</f>
        <v>0</v>
      </c>
      <c r="AW123" s="25">
        <f>SUM(Table1[[#This Row],[yr 5_wl]:[yr 5_pf]])</f>
        <v>0</v>
      </c>
      <c r="AX123" s="25">
        <f>IF(Table1[[#This Row],[Years_Next_Rehab_Well]]=6,VLOOKUP(Table1[[#This Row],[Item_Rehab_WL]],[1]!Table2[#All],9,FALSE),0)</f>
        <v>0</v>
      </c>
      <c r="AY123" s="25">
        <f>IF(Table1[[#This Row],[Adjusted_ULife_HP]]=6,VLOOKUP(Table1[[#This Row],[Item_Handpump]],[1]!Table2[#All],9,FALSE),0)</f>
        <v>0</v>
      </c>
      <c r="AZ123" s="25">
        <f>IF(Table1[[#This Row],[Adjusted_ULife_PF]]=6,VLOOKUP(Table1[[#This Row],[Item_Platform]],[1]!Table2[#All],9,FALSE),0)</f>
        <v>0</v>
      </c>
      <c r="BA123" s="25">
        <f>SUM(Table1[[#This Row],[yr 6_wl]:[yr 6_pf]])</f>
        <v>0</v>
      </c>
      <c r="BB123" s="25">
        <f>IF(Table1[[#This Row],[Years_Next_Rehab_Well]]=7,VLOOKUP(Table1[[#This Row],[Item_Rehab_WL]],[1]!Table2[#All],10,FALSE),0)</f>
        <v>0</v>
      </c>
      <c r="BC123" s="25">
        <f>IF(Table1[[#This Row],[Adjusted_ULife_HP]]=7,VLOOKUP(Table1[[#This Row],[Item_Handpump]],[1]!Table2[#All],10,FALSE),0)</f>
        <v>0</v>
      </c>
      <c r="BD123" s="25">
        <f>IF(Table1[[#This Row],[Adjusted_ULife_PF]]=7,VLOOKUP(Table1[[#This Row],[Item_Platform]],[1]!Table2[#All],10,FALSE),0)</f>
        <v>0</v>
      </c>
      <c r="BE123" s="25">
        <f>SUM(Table1[[#This Row],[yr 7_wl]:[yr 7_pf]])</f>
        <v>0</v>
      </c>
      <c r="BF123" s="25">
        <f>IF(Table1[[#This Row],[Years_Next_Rehab_Well]]=8,VLOOKUP(Table1[[#This Row],[Item_Rehab_WL]],[1]!Table2[#All],11,FALSE),0)</f>
        <v>0</v>
      </c>
      <c r="BG123" s="25">
        <f>IF(Table1[[#This Row],[Adjusted_ULife_HP]]=8,VLOOKUP(Table1[[#This Row],[Item_Handpump]],[1]!Table2[#All],11,FALSE),0)</f>
        <v>0</v>
      </c>
      <c r="BH123" s="25">
        <f>IF(Table1[[#This Row],[Adjusted_ULife_PF]]=8,VLOOKUP(Table1[[#This Row],[Item_Platform]],[1]!Table2[#All],11,FALSE),0)</f>
        <v>0</v>
      </c>
      <c r="BI123" s="25">
        <f>SUM(Table1[[#This Row],[yr 8_wl]:[yr 8_pf]])</f>
        <v>0</v>
      </c>
      <c r="BJ123" s="25">
        <f>IF(Table1[[#This Row],[Years_Next_Rehab_Well]]=9,VLOOKUP(Table1[[#This Row],[Item_Rehab_WL]],[1]!Table2[#All],12,FALSE),0)</f>
        <v>0</v>
      </c>
      <c r="BK123" s="25">
        <f>IF(Table1[[#This Row],[Adjusted_ULife_HP]]=9,VLOOKUP(Table1[[#This Row],[Item_Handpump]],[1]!Table2[#All],12,FALSE),0)</f>
        <v>0</v>
      </c>
      <c r="BL123" s="25">
        <f>IF(Table1[[#This Row],[Adjusted_ULife_PF]]=9,VLOOKUP(Table1[[#This Row],[Item_Platform]],[1]!Table2[#All],12,FALSE),0)</f>
        <v>4159.6181361752842</v>
      </c>
      <c r="BM123" s="25">
        <f>SUM(Table1[[#This Row],[yr 9_wl]:[yr 9_pf]])</f>
        <v>4159.6181361752842</v>
      </c>
      <c r="BN123" s="25">
        <f>IF(Table1[[#This Row],[Years_Next_Rehab_Well]]=10,VLOOKUP(Table1[[#This Row],[Item_Rehab_WL]],[1]!Table2[#All],13,FALSE),0)</f>
        <v>0</v>
      </c>
      <c r="BO123" s="25">
        <f>IF(Table1[[#This Row],[Adjusted_ULife_HP]]=10,VLOOKUP(Table1[[#This Row],[Item_Handpump]],[1]!Table2[#All],13,FALSE),0)</f>
        <v>0</v>
      </c>
      <c r="BP123" s="25">
        <f>IF(Table1[[#This Row],[Adjusted_ULife_PF]]=10,VLOOKUP(Table1[[#This Row],[Item_Platform]],[1]!Table2[#All],13,FALSE),0)</f>
        <v>0</v>
      </c>
      <c r="BQ123" s="25">
        <f>SUM(Table1[[#This Row],[yr 10_wl]:[yr 10_pf]])</f>
        <v>0</v>
      </c>
      <c r="BR123" s="25">
        <f>IF(Table1[[#This Row],[Years_Next_Rehab_Well]]=11,VLOOKUP(Table1[[#This Row],[Item_Rehab_WL]],[1]!Table2[#All],14,FALSE),0)</f>
        <v>0</v>
      </c>
      <c r="BS123" s="25">
        <f>IF(Table1[[#This Row],[Adjusted_ULife_HP]]=11,VLOOKUP(Table1[[#This Row],[Item_Handpump]],[1]!Table2[#All],14,FALSE),0)</f>
        <v>0</v>
      </c>
      <c r="BT123" s="25">
        <f>IF(Table1[[#This Row],[Adjusted_ULife_PF]]=11,VLOOKUP(Table1[[#This Row],[Item_Platform]],[1]!Table2[#All],14,FALSE),0)</f>
        <v>0</v>
      </c>
      <c r="BU123" s="25">
        <f>SUM(Table1[[#This Row],[yr 11_wl]:[yr 11_pf]])</f>
        <v>0</v>
      </c>
      <c r="BV123" s="25">
        <f>IF(Table1[[#This Row],[Years_Next_Rehab_Well]]=12,VLOOKUP(Table1[[#This Row],[Item_Rehab_WL]],[1]!Table2[#All],15,FALSE),0)</f>
        <v>0</v>
      </c>
      <c r="BW123" s="25">
        <f>IF(Table1[[#This Row],[Adjusted_ULife_HP]]=12,VLOOKUP(Table1[[#This Row],[Item_Handpump]],[1]!Table2[#All],15,FALSE),0)</f>
        <v>0</v>
      </c>
      <c r="BX123" s="25">
        <f>IF(Table1[[#This Row],[Adjusted_ULife_PF]]=12,VLOOKUP(Table1[[#This Row],[Item_Platform]],[1]!Table2[#All],15,FALSE),0)</f>
        <v>0</v>
      </c>
      <c r="BY123" s="25">
        <f>SUM(Table1[[#This Row],[yr 12_wl]:[yr 12_pf]])</f>
        <v>0</v>
      </c>
      <c r="BZ123" s="25">
        <f>IF(Table1[[#This Row],[Years_Next_Rehab_Well]]=13,VLOOKUP(Table1[[#This Row],[Item_Rehab_WL]],[1]!Table2[#All],16,FALSE),0)</f>
        <v>0</v>
      </c>
      <c r="CA123" s="25">
        <f>IF(Table1[[#This Row],[Adjusted_ULife_HP]]=13,VLOOKUP(Table1[[#This Row],[Item_Handpump]],[1]!Table2[#All],16,FALSE),0)</f>
        <v>0</v>
      </c>
      <c r="CB123" s="25">
        <f>IF(Table1[[#This Row],[Adjusted_ULife_PF]]=13,VLOOKUP(Table1[[#This Row],[Item_Platform]],[1]!Table2[#All],16,FALSE),0)</f>
        <v>0</v>
      </c>
      <c r="CC123" s="25">
        <f>SUM(Table1[[#This Row],[yr 13_wl]:[yr 13_pf]])</f>
        <v>0</v>
      </c>
      <c r="CD123" s="12"/>
    </row>
    <row r="124" spans="1:82" s="11" customFormat="1" x14ac:dyDescent="0.25">
      <c r="A124" s="11" t="str">
        <f>IF([1]Input_monitoring_data!A120="","",[1]Input_monitoring_data!A120)</f>
        <v>n05n-hg3y-c9v1</v>
      </c>
      <c r="B124" s="22" t="str">
        <f>[1]Input_monitoring_data!BH120</f>
        <v>Ntotroso</v>
      </c>
      <c r="C124" s="22" t="str">
        <f>[1]Input_monitoring_data!BI120</f>
        <v>Gyedu</v>
      </c>
      <c r="D124" s="22" t="str">
        <f>[1]Input_monitoring_data!P120</f>
        <v>7.064897426603456</v>
      </c>
      <c r="E124" s="22" t="str">
        <f>[1]Input_monitoring_data!Q120</f>
        <v>-2.3224411945075074</v>
      </c>
      <c r="F124" s="22" t="str">
        <f>[1]Input_monitoring_data!V120</f>
        <v>Near Aunti Asibi Wakye's House</v>
      </c>
      <c r="G124" s="23" t="str">
        <f>[1]Input_monitoring_data!U120</f>
        <v>Borehole</v>
      </c>
      <c r="H124" s="22">
        <f>[1]Input_monitoring_data!X120</f>
        <v>1987</v>
      </c>
      <c r="I124" s="21" t="str">
        <f>[1]Input_monitoring_data!AB120</f>
        <v>Borehole redevelopment</v>
      </c>
      <c r="J124" s="21">
        <f>[1]Input_monitoring_data!AC120</f>
        <v>0</v>
      </c>
      <c r="K124" s="23" t="str">
        <f>[1]Input_monitoring_data!W120</f>
        <v>Ghana modified India Mark II</v>
      </c>
      <c r="L124" s="22">
        <f>[1]Input_monitoring_data!X120</f>
        <v>1987</v>
      </c>
      <c r="M124" s="21" t="str">
        <f>IF([1]Input_monitoring_data!BL120&gt;'Point Sources_Asset_Register_'!L124,[1]Input_monitoring_data!BL120,"")</f>
        <v/>
      </c>
      <c r="N124" s="22" t="str">
        <f>[1]Input_monitoring_data!BQ120</f>
        <v>No repeat</v>
      </c>
      <c r="O124" s="22" t="str">
        <f>[1]Input_monitoring_data!AJ120</f>
        <v>Water table too low (borehole dry)</v>
      </c>
      <c r="P124" s="23" t="s">
        <v>0</v>
      </c>
      <c r="Q124" s="22">
        <f>L124</f>
        <v>1987</v>
      </c>
      <c r="R124" s="21" t="str">
        <f>M124</f>
        <v/>
      </c>
      <c r="S124" s="20">
        <f>[1]Input_EUL_CRC_ERC!$B$17-Table1[[#This Row],[Year Installed_WL]]</f>
        <v>30</v>
      </c>
      <c r="T124" s="20">
        <f>[1]Input_EUL_CRC_ERC!$B$17-(IF(Table1[[#This Row],[Year Last_Rehab_WL ]]=0,Table1[[#This Row],[Year Installed_WL]],[1]Input_EUL_CRC_ERC!$B$17-Table1[[#This Row],[Year Last_Rehab_WL ]]))</f>
        <v>30</v>
      </c>
      <c r="U124" s="20">
        <f>(VLOOKUP(Table1[[#This Row],[Item_Rehab_WL]],[1]Input_EUL_CRC_ERC!$C$17:$E$27,2,FALSE)-Table1[[#This Row],[Last Rehab Age]])</f>
        <v>-15</v>
      </c>
      <c r="V124" s="19">
        <f>[1]Input_EUL_CRC_ERC!$B$17-Table1[[#This Row],[Year Installed_HP]]</f>
        <v>30</v>
      </c>
      <c r="W124" s="19">
        <f>(VLOOKUP(Table1[[#This Row],[Item_Handpump]],[1]!Table2[#All],2,FALSE))-(IF(Table1[[#This Row],[Year Last_Rehab_HP]]="",Table1[[#This Row],[Current Age_Handpump]],[1]Input_EUL_CRC_ERC!$B$17-Table1[[#This Row],[Year Last_Rehab_HP]]))</f>
        <v>-10</v>
      </c>
      <c r="X124" s="19">
        <f>[1]Input_EUL_CRC_ERC!$B$17-Table1[[#This Row],[Year Installed_PF]]</f>
        <v>30</v>
      </c>
      <c r="Y124" s="19">
        <f>(VLOOKUP(Table1[[#This Row],[Item_Platform]],[1]!Table2[#All],2,FALSE))-(IF(Table1[[#This Row],[Year Last_Rehab_PF]]="",Table1[[#This Row],[Current Age_Platform]],[1]Input_EUL_CRC_ERC!$B$17-Table1[[#This Row],[Year Last_Rehab_PF]]))</f>
        <v>-20</v>
      </c>
      <c r="Z124" s="25">
        <f>IF(Table1[[#This Row],[Years_Next_Rehab_Well]]&lt;=0,VLOOKUP(Table1[[#This Row],[Item_Rehab_WL]],[1]!Table2[#All],3,FALSE),0)</f>
        <v>3666.6666666666665</v>
      </c>
      <c r="AA124" s="18">
        <f>IF(Table1[[#This Row],[Adjusted_ULife_HP]]&lt;=0,VLOOKUP(Table1[[#This Row],[Item_Handpump]],[1]!Table2[#All],3,FALSE),0)</f>
        <v>400</v>
      </c>
      <c r="AB124" s="18">
        <f>IF(Table1[[#This Row],[Adjusted_ULife_PF]]&lt;=0,VLOOKUP(Table1[[#This Row],[Item_Platform]],[1]!Table2[#All],3,FALSE),0)</f>
        <v>1500</v>
      </c>
      <c r="AC124" s="18">
        <f>SUM(Table1[[#This Row],[current yr_wl]:[current yr_pf]])</f>
        <v>5566.6666666666661</v>
      </c>
      <c r="AD124" s="25">
        <f>IF(Table1[[#This Row],[Years_Next_Rehab_Well]]=1,VLOOKUP(Table1[[#This Row],[Item_Rehab_WL]],[1]!Table2[#All],4,FALSE),0)</f>
        <v>0</v>
      </c>
      <c r="AE124" s="25">
        <f>IF(Table1[[#This Row],[Adjusted_ULife_HP]]=1,VLOOKUP(Table1[[#This Row],[Item_Handpump]],[1]!Table2[#All],4,FALSE),0)</f>
        <v>0</v>
      </c>
      <c r="AF124" s="25">
        <f>IF(Table1[[#This Row],[Adjusted_ULife_PF]]=1,VLOOKUP(Table1[[#This Row],[Item_Platform]],[1]!Table2[#All],4,FALSE),0)</f>
        <v>0</v>
      </c>
      <c r="AG124" s="25">
        <f>SUM(Table1[[#This Row],[yr 1_wl]:[yr 1_pf]])</f>
        <v>0</v>
      </c>
      <c r="AH124" s="25">
        <f>IF(Table1[[#This Row],[Years_Next_Rehab_Well]]=2,VLOOKUP(Table1[[#This Row],[Item_Rehab_WL]],[1]!Table2[#All],5,FALSE),0)</f>
        <v>0</v>
      </c>
      <c r="AI124" s="25">
        <f>IF(Table1[[#This Row],[Adjusted_ULife_HP]]=2,VLOOKUP(Table1[[#This Row],[Item_Handpump]],[1]!Table2[#All],5,FALSE),0)</f>
        <v>0</v>
      </c>
      <c r="AJ124" s="25">
        <f>IF(Table1[[#This Row],[Adjusted_ULife_PF]]=2,VLOOKUP(Table1[[#This Row],[Item_Platform]],[1]!Table2[#All],5,FALSE),0)</f>
        <v>0</v>
      </c>
      <c r="AK124" s="25">
        <f>SUM(Table1[[#This Row],[yr 2_wl]:[yr 2_pf]])</f>
        <v>0</v>
      </c>
      <c r="AL124" s="25">
        <f>IF(Table1[[#This Row],[Years_Next_Rehab_Well]]=3,VLOOKUP(Table1[[#This Row],[Item_Rehab_WL]],[1]!Table2[#All],6,FALSE),0)</f>
        <v>0</v>
      </c>
      <c r="AM124" s="25">
        <f>IF(Table1[[#This Row],[Adjusted_ULife_HP]]=3,VLOOKUP(Table1[[#This Row],[Item_Handpump]],[1]!Table2[#All],6,FALSE),0)</f>
        <v>0</v>
      </c>
      <c r="AN124" s="25">
        <f>IF(Table1[[#This Row],[Adjusted_ULife_PF]]=3,VLOOKUP(Table1[[#This Row],[Item_Platform]],[1]!Table2[#All],6,FALSE),0)</f>
        <v>0</v>
      </c>
      <c r="AO124" s="25">
        <f>SUM(Table1[[#This Row],[yr 3_wl]:[yr 3_pf]])</f>
        <v>0</v>
      </c>
      <c r="AP124" s="25">
        <f>IF(Table1[[#This Row],[Years_Next_Rehab_Well]]=4,VLOOKUP(Table1[[#This Row],[Item_Rehab_WL]],[1]!Table2[#All],7,FALSE),0)</f>
        <v>0</v>
      </c>
      <c r="AQ124" s="25">
        <f>IF(Table1[[#This Row],[Adjusted_ULife_HP]]=4,VLOOKUP(Table1[[#This Row],[Item_Handpump]],[1]!Table2[#All],7,FALSE),0)</f>
        <v>0</v>
      </c>
      <c r="AR124" s="25">
        <f>IF(Table1[[#This Row],[Adjusted_ULife_PF]]=4,VLOOKUP(Table1[[#This Row],[Item_Platform]],[1]!Table2[#All],7,FALSE),0)</f>
        <v>0</v>
      </c>
      <c r="AS124" s="25">
        <f>SUM(Table1[[#This Row],[yr 4_wl]:[yr 4_pf]])</f>
        <v>0</v>
      </c>
      <c r="AT124" s="25">
        <f>IF(Table1[[#This Row],[Years_Next_Rehab_Well]]=5,VLOOKUP(Table1[[#This Row],[Item_Rehab_WL]],[1]!Table2[#All],8,FALSE),0)</f>
        <v>0</v>
      </c>
      <c r="AU124" s="25">
        <f>IF(Table1[[#This Row],[Adjusted_ULife_HP]]=5,VLOOKUP(Table1[[#This Row],[Item_Handpump]],[1]!Table2[#All],8,FALSE),0)</f>
        <v>0</v>
      </c>
      <c r="AV124" s="25">
        <f>IF(Table1[[#This Row],[Adjusted_ULife_PF]]=5,VLOOKUP(Table1[[#This Row],[Item_Platform]],[1]!Table2[#All],8,FALSE),0)</f>
        <v>0</v>
      </c>
      <c r="AW124" s="25">
        <f>SUM(Table1[[#This Row],[yr 5_wl]:[yr 5_pf]])</f>
        <v>0</v>
      </c>
      <c r="AX124" s="25">
        <f>IF(Table1[[#This Row],[Years_Next_Rehab_Well]]=6,VLOOKUP(Table1[[#This Row],[Item_Rehab_WL]],[1]!Table2[#All],9,FALSE),0)</f>
        <v>0</v>
      </c>
      <c r="AY124" s="25">
        <f>IF(Table1[[#This Row],[Adjusted_ULife_HP]]=6,VLOOKUP(Table1[[#This Row],[Item_Handpump]],[1]!Table2[#All],9,FALSE),0)</f>
        <v>0</v>
      </c>
      <c r="AZ124" s="25">
        <f>IF(Table1[[#This Row],[Adjusted_ULife_PF]]=6,VLOOKUP(Table1[[#This Row],[Item_Platform]],[1]!Table2[#All],9,FALSE),0)</f>
        <v>0</v>
      </c>
      <c r="BA124" s="25">
        <f>SUM(Table1[[#This Row],[yr 6_wl]:[yr 6_pf]])</f>
        <v>0</v>
      </c>
      <c r="BB124" s="25">
        <f>IF(Table1[[#This Row],[Years_Next_Rehab_Well]]=7,VLOOKUP(Table1[[#This Row],[Item_Rehab_WL]],[1]!Table2[#All],10,FALSE),0)</f>
        <v>0</v>
      </c>
      <c r="BC124" s="25">
        <f>IF(Table1[[#This Row],[Adjusted_ULife_HP]]=7,VLOOKUP(Table1[[#This Row],[Item_Handpump]],[1]!Table2[#All],10,FALSE),0)</f>
        <v>0</v>
      </c>
      <c r="BD124" s="25">
        <f>IF(Table1[[#This Row],[Adjusted_ULife_PF]]=7,VLOOKUP(Table1[[#This Row],[Item_Platform]],[1]!Table2[#All],10,FALSE),0)</f>
        <v>0</v>
      </c>
      <c r="BE124" s="25">
        <f>SUM(Table1[[#This Row],[yr 7_wl]:[yr 7_pf]])</f>
        <v>0</v>
      </c>
      <c r="BF124" s="25">
        <f>IF(Table1[[#This Row],[Years_Next_Rehab_Well]]=8,VLOOKUP(Table1[[#This Row],[Item_Rehab_WL]],[1]!Table2[#All],11,FALSE),0)</f>
        <v>0</v>
      </c>
      <c r="BG124" s="25">
        <f>IF(Table1[[#This Row],[Adjusted_ULife_HP]]=8,VLOOKUP(Table1[[#This Row],[Item_Handpump]],[1]!Table2[#All],11,FALSE),0)</f>
        <v>0</v>
      </c>
      <c r="BH124" s="25">
        <f>IF(Table1[[#This Row],[Adjusted_ULife_PF]]=8,VLOOKUP(Table1[[#This Row],[Item_Platform]],[1]!Table2[#All],11,FALSE),0)</f>
        <v>0</v>
      </c>
      <c r="BI124" s="25">
        <f>SUM(Table1[[#This Row],[yr 8_wl]:[yr 8_pf]])</f>
        <v>0</v>
      </c>
      <c r="BJ124" s="25">
        <f>IF(Table1[[#This Row],[Years_Next_Rehab_Well]]=9,VLOOKUP(Table1[[#This Row],[Item_Rehab_WL]],[1]!Table2[#All],12,FALSE),0)</f>
        <v>0</v>
      </c>
      <c r="BK124" s="25">
        <f>IF(Table1[[#This Row],[Adjusted_ULife_HP]]=9,VLOOKUP(Table1[[#This Row],[Item_Handpump]],[1]!Table2[#All],12,FALSE),0)</f>
        <v>0</v>
      </c>
      <c r="BL124" s="25">
        <f>IF(Table1[[#This Row],[Adjusted_ULife_PF]]=9,VLOOKUP(Table1[[#This Row],[Item_Platform]],[1]!Table2[#All],12,FALSE),0)</f>
        <v>0</v>
      </c>
      <c r="BM124" s="25">
        <f>SUM(Table1[[#This Row],[yr 9_wl]:[yr 9_pf]])</f>
        <v>0</v>
      </c>
      <c r="BN124" s="25">
        <f>IF(Table1[[#This Row],[Years_Next_Rehab_Well]]=10,VLOOKUP(Table1[[#This Row],[Item_Rehab_WL]],[1]!Table2[#All],13,FALSE),0)</f>
        <v>0</v>
      </c>
      <c r="BO124" s="25">
        <f>IF(Table1[[#This Row],[Adjusted_ULife_HP]]=10,VLOOKUP(Table1[[#This Row],[Item_Handpump]],[1]!Table2[#All],13,FALSE),0)</f>
        <v>0</v>
      </c>
      <c r="BP124" s="25">
        <f>IF(Table1[[#This Row],[Adjusted_ULife_PF]]=10,VLOOKUP(Table1[[#This Row],[Item_Platform]],[1]!Table2[#All],13,FALSE),0)</f>
        <v>0</v>
      </c>
      <c r="BQ124" s="25">
        <f>SUM(Table1[[#This Row],[yr 10_wl]:[yr 10_pf]])</f>
        <v>0</v>
      </c>
      <c r="BR124" s="25">
        <f>IF(Table1[[#This Row],[Years_Next_Rehab_Well]]=11,VLOOKUP(Table1[[#This Row],[Item_Rehab_WL]],[1]!Table2[#All],14,FALSE),0)</f>
        <v>0</v>
      </c>
      <c r="BS124" s="25">
        <f>IF(Table1[[#This Row],[Adjusted_ULife_HP]]=11,VLOOKUP(Table1[[#This Row],[Item_Handpump]],[1]!Table2[#All],14,FALSE),0)</f>
        <v>0</v>
      </c>
      <c r="BT124" s="25">
        <f>IF(Table1[[#This Row],[Adjusted_ULife_PF]]=11,VLOOKUP(Table1[[#This Row],[Item_Platform]],[1]!Table2[#All],14,FALSE),0)</f>
        <v>0</v>
      </c>
      <c r="BU124" s="25">
        <f>SUM(Table1[[#This Row],[yr 11_wl]:[yr 11_pf]])</f>
        <v>0</v>
      </c>
      <c r="BV124" s="25">
        <f>IF(Table1[[#This Row],[Years_Next_Rehab_Well]]=12,VLOOKUP(Table1[[#This Row],[Item_Rehab_WL]],[1]!Table2[#All],15,FALSE),0)</f>
        <v>0</v>
      </c>
      <c r="BW124" s="25">
        <f>IF(Table1[[#This Row],[Adjusted_ULife_HP]]=12,VLOOKUP(Table1[[#This Row],[Item_Handpump]],[1]!Table2[#All],15,FALSE),0)</f>
        <v>0</v>
      </c>
      <c r="BX124" s="25">
        <f>IF(Table1[[#This Row],[Adjusted_ULife_PF]]=12,VLOOKUP(Table1[[#This Row],[Item_Platform]],[1]!Table2[#All],15,FALSE),0)</f>
        <v>0</v>
      </c>
      <c r="BY124" s="25">
        <f>SUM(Table1[[#This Row],[yr 12_wl]:[yr 12_pf]])</f>
        <v>0</v>
      </c>
      <c r="BZ124" s="25">
        <f>IF(Table1[[#This Row],[Years_Next_Rehab_Well]]=13,VLOOKUP(Table1[[#This Row],[Item_Rehab_WL]],[1]!Table2[#All],16,FALSE),0)</f>
        <v>0</v>
      </c>
      <c r="CA124" s="25">
        <f>IF(Table1[[#This Row],[Adjusted_ULife_HP]]=13,VLOOKUP(Table1[[#This Row],[Item_Handpump]],[1]!Table2[#All],16,FALSE),0)</f>
        <v>0</v>
      </c>
      <c r="CB124" s="25">
        <f>IF(Table1[[#This Row],[Adjusted_ULife_PF]]=13,VLOOKUP(Table1[[#This Row],[Item_Platform]],[1]!Table2[#All],16,FALSE),0)</f>
        <v>0</v>
      </c>
      <c r="CC124" s="25">
        <f>SUM(Table1[[#This Row],[yr 13_wl]:[yr 13_pf]])</f>
        <v>0</v>
      </c>
      <c r="CD124" s="12"/>
    </row>
    <row r="125" spans="1:82" s="11" customFormat="1" x14ac:dyDescent="0.25">
      <c r="A125" s="11" t="str">
        <f>IF([1]Input_monitoring_data!A121="","",[1]Input_monitoring_data!A121)</f>
        <v>nj4s-ntkt-eb7s</v>
      </c>
      <c r="B125" s="22" t="str">
        <f>[1]Input_monitoring_data!BH121</f>
        <v>Ntotroso</v>
      </c>
      <c r="C125" s="22" t="str">
        <f>[1]Input_monitoring_data!BI121</f>
        <v>Wamahinso</v>
      </c>
      <c r="D125" s="22" t="str">
        <f>[1]Input_monitoring_data!P121</f>
        <v>7.089328509029292</v>
      </c>
      <c r="E125" s="22" t="str">
        <f>[1]Input_monitoring_data!Q121</f>
        <v>-2.3415077328272367</v>
      </c>
      <c r="F125" s="22" t="str">
        <f>[1]Input_monitoring_data!V121</f>
        <v>Behind Adwoa Gyamera Chop Bar</v>
      </c>
      <c r="G125" s="23" t="str">
        <f>[1]Input_monitoring_data!U121</f>
        <v>Borehole</v>
      </c>
      <c r="H125" s="22">
        <f>[1]Input_monitoring_data!X121</f>
        <v>1987</v>
      </c>
      <c r="I125" s="21" t="str">
        <f>[1]Input_monitoring_data!AB121</f>
        <v>Borehole redevelopment</v>
      </c>
      <c r="J125" s="21">
        <f>[1]Input_monitoring_data!AC121</f>
        <v>0</v>
      </c>
      <c r="K125" s="23" t="str">
        <f>[1]Input_monitoring_data!W121</f>
        <v>AfriDev</v>
      </c>
      <c r="L125" s="22">
        <f>[1]Input_monitoring_data!X121</f>
        <v>1987</v>
      </c>
      <c r="M125" s="21" t="str">
        <f>IF([1]Input_monitoring_data!BL121&gt;'Point Sources_Asset_Register_'!L125,[1]Input_monitoring_data!BL121,"")</f>
        <v/>
      </c>
      <c r="N125" s="22" t="str">
        <f>[1]Input_monitoring_data!BQ121</f>
        <v>not functional</v>
      </c>
      <c r="O125" s="22" t="str">
        <f>[1]Input_monitoring_data!AJ121</f>
        <v>Handpump broken</v>
      </c>
      <c r="P125" s="23" t="s">
        <v>0</v>
      </c>
      <c r="Q125" s="22">
        <f>L125</f>
        <v>1987</v>
      </c>
      <c r="R125" s="21" t="str">
        <f>M125</f>
        <v/>
      </c>
      <c r="S125" s="20">
        <f>[1]Input_EUL_CRC_ERC!$B$17-Table1[[#This Row],[Year Installed_WL]]</f>
        <v>30</v>
      </c>
      <c r="T125" s="20">
        <f>[1]Input_EUL_CRC_ERC!$B$17-(IF(Table1[[#This Row],[Year Last_Rehab_WL ]]=0,Table1[[#This Row],[Year Installed_WL]],[1]Input_EUL_CRC_ERC!$B$17-Table1[[#This Row],[Year Last_Rehab_WL ]]))</f>
        <v>30</v>
      </c>
      <c r="U125" s="20">
        <f>(VLOOKUP(Table1[[#This Row],[Item_Rehab_WL]],[1]Input_EUL_CRC_ERC!$C$17:$E$27,2,FALSE)-Table1[[#This Row],[Last Rehab Age]])</f>
        <v>-15</v>
      </c>
      <c r="V125" s="19">
        <f>[1]Input_EUL_CRC_ERC!$B$17-Table1[[#This Row],[Year Installed_HP]]</f>
        <v>30</v>
      </c>
      <c r="W125" s="19">
        <f>(VLOOKUP(Table1[[#This Row],[Item_Handpump]],[1]!Table2[#All],2,FALSE))-(IF(Table1[[#This Row],[Year Last_Rehab_HP]]="",Table1[[#This Row],[Current Age_Handpump]],[1]Input_EUL_CRC_ERC!$B$17-Table1[[#This Row],[Year Last_Rehab_HP]]))</f>
        <v>-10</v>
      </c>
      <c r="X125" s="19">
        <f>[1]Input_EUL_CRC_ERC!$B$17-Table1[[#This Row],[Year Installed_PF]]</f>
        <v>30</v>
      </c>
      <c r="Y125" s="19">
        <f>(VLOOKUP(Table1[[#This Row],[Item_Platform]],[1]!Table2[#All],2,FALSE))-(IF(Table1[[#This Row],[Year Last_Rehab_PF]]="",Table1[[#This Row],[Current Age_Platform]],[1]Input_EUL_CRC_ERC!$B$17-Table1[[#This Row],[Year Last_Rehab_PF]]))</f>
        <v>-20</v>
      </c>
      <c r="Z125" s="25">
        <f>IF(Table1[[#This Row],[Years_Next_Rehab_Well]]&lt;=0,VLOOKUP(Table1[[#This Row],[Item_Rehab_WL]],[1]!Table2[#All],3,FALSE),0)</f>
        <v>3666.6666666666665</v>
      </c>
      <c r="AA125" s="18">
        <f>IF(Table1[[#This Row],[Adjusted_ULife_HP]]&lt;=0,VLOOKUP(Table1[[#This Row],[Item_Handpump]],[1]!Table2[#All],3,FALSE),0)</f>
        <v>400</v>
      </c>
      <c r="AB125" s="18">
        <f>IF(Table1[[#This Row],[Adjusted_ULife_PF]]&lt;=0,VLOOKUP(Table1[[#This Row],[Item_Platform]],[1]!Table2[#All],3,FALSE),0)</f>
        <v>1500</v>
      </c>
      <c r="AC125" s="18">
        <f>SUM(Table1[[#This Row],[current yr_wl]:[current yr_pf]])</f>
        <v>5566.6666666666661</v>
      </c>
      <c r="AD125" s="25">
        <f>IF(Table1[[#This Row],[Years_Next_Rehab_Well]]=1,VLOOKUP(Table1[[#This Row],[Item_Rehab_WL]],[1]!Table2[#All],4,FALSE),0)</f>
        <v>0</v>
      </c>
      <c r="AE125" s="25">
        <f>IF(Table1[[#This Row],[Adjusted_ULife_HP]]=1,VLOOKUP(Table1[[#This Row],[Item_Handpump]],[1]!Table2[#All],4,FALSE),0)</f>
        <v>0</v>
      </c>
      <c r="AF125" s="25">
        <f>IF(Table1[[#This Row],[Adjusted_ULife_PF]]=1,VLOOKUP(Table1[[#This Row],[Item_Platform]],[1]!Table2[#All],4,FALSE),0)</f>
        <v>0</v>
      </c>
      <c r="AG125" s="25">
        <f>SUM(Table1[[#This Row],[yr 1_wl]:[yr 1_pf]])</f>
        <v>0</v>
      </c>
      <c r="AH125" s="25">
        <f>IF(Table1[[#This Row],[Years_Next_Rehab_Well]]=2,VLOOKUP(Table1[[#This Row],[Item_Rehab_WL]],[1]!Table2[#All],5,FALSE),0)</f>
        <v>0</v>
      </c>
      <c r="AI125" s="25">
        <f>IF(Table1[[#This Row],[Adjusted_ULife_HP]]=2,VLOOKUP(Table1[[#This Row],[Item_Handpump]],[1]!Table2[#All],5,FALSE),0)</f>
        <v>0</v>
      </c>
      <c r="AJ125" s="25">
        <f>IF(Table1[[#This Row],[Adjusted_ULife_PF]]=2,VLOOKUP(Table1[[#This Row],[Item_Platform]],[1]!Table2[#All],5,FALSE),0)</f>
        <v>0</v>
      </c>
      <c r="AK125" s="25">
        <f>SUM(Table1[[#This Row],[yr 2_wl]:[yr 2_pf]])</f>
        <v>0</v>
      </c>
      <c r="AL125" s="25">
        <f>IF(Table1[[#This Row],[Years_Next_Rehab_Well]]=3,VLOOKUP(Table1[[#This Row],[Item_Rehab_WL]],[1]!Table2[#All],6,FALSE),0)</f>
        <v>0</v>
      </c>
      <c r="AM125" s="25">
        <f>IF(Table1[[#This Row],[Adjusted_ULife_HP]]=3,VLOOKUP(Table1[[#This Row],[Item_Handpump]],[1]!Table2[#All],6,FALSE),0)</f>
        <v>0</v>
      </c>
      <c r="AN125" s="25">
        <f>IF(Table1[[#This Row],[Adjusted_ULife_PF]]=3,VLOOKUP(Table1[[#This Row],[Item_Platform]],[1]!Table2[#All],6,FALSE),0)</f>
        <v>0</v>
      </c>
      <c r="AO125" s="25">
        <f>SUM(Table1[[#This Row],[yr 3_wl]:[yr 3_pf]])</f>
        <v>0</v>
      </c>
      <c r="AP125" s="25">
        <f>IF(Table1[[#This Row],[Years_Next_Rehab_Well]]=4,VLOOKUP(Table1[[#This Row],[Item_Rehab_WL]],[1]!Table2[#All],7,FALSE),0)</f>
        <v>0</v>
      </c>
      <c r="AQ125" s="25">
        <f>IF(Table1[[#This Row],[Adjusted_ULife_HP]]=4,VLOOKUP(Table1[[#This Row],[Item_Handpump]],[1]!Table2[#All],7,FALSE),0)</f>
        <v>0</v>
      </c>
      <c r="AR125" s="25">
        <f>IF(Table1[[#This Row],[Adjusted_ULife_PF]]=4,VLOOKUP(Table1[[#This Row],[Item_Platform]],[1]!Table2[#All],7,FALSE),0)</f>
        <v>0</v>
      </c>
      <c r="AS125" s="25">
        <f>SUM(Table1[[#This Row],[yr 4_wl]:[yr 4_pf]])</f>
        <v>0</v>
      </c>
      <c r="AT125" s="25">
        <f>IF(Table1[[#This Row],[Years_Next_Rehab_Well]]=5,VLOOKUP(Table1[[#This Row],[Item_Rehab_WL]],[1]!Table2[#All],8,FALSE),0)</f>
        <v>0</v>
      </c>
      <c r="AU125" s="25">
        <f>IF(Table1[[#This Row],[Adjusted_ULife_HP]]=5,VLOOKUP(Table1[[#This Row],[Item_Handpump]],[1]!Table2[#All],8,FALSE),0)</f>
        <v>0</v>
      </c>
      <c r="AV125" s="25">
        <f>IF(Table1[[#This Row],[Adjusted_ULife_PF]]=5,VLOOKUP(Table1[[#This Row],[Item_Platform]],[1]!Table2[#All],8,FALSE),0)</f>
        <v>0</v>
      </c>
      <c r="AW125" s="25">
        <f>SUM(Table1[[#This Row],[yr 5_wl]:[yr 5_pf]])</f>
        <v>0</v>
      </c>
      <c r="AX125" s="25">
        <f>IF(Table1[[#This Row],[Years_Next_Rehab_Well]]=6,VLOOKUP(Table1[[#This Row],[Item_Rehab_WL]],[1]!Table2[#All],9,FALSE),0)</f>
        <v>0</v>
      </c>
      <c r="AY125" s="25">
        <f>IF(Table1[[#This Row],[Adjusted_ULife_HP]]=6,VLOOKUP(Table1[[#This Row],[Item_Handpump]],[1]!Table2[#All],9,FALSE),0)</f>
        <v>0</v>
      </c>
      <c r="AZ125" s="25">
        <f>IF(Table1[[#This Row],[Adjusted_ULife_PF]]=6,VLOOKUP(Table1[[#This Row],[Item_Platform]],[1]!Table2[#All],9,FALSE),0)</f>
        <v>0</v>
      </c>
      <c r="BA125" s="25">
        <f>SUM(Table1[[#This Row],[yr 6_wl]:[yr 6_pf]])</f>
        <v>0</v>
      </c>
      <c r="BB125" s="25">
        <f>IF(Table1[[#This Row],[Years_Next_Rehab_Well]]=7,VLOOKUP(Table1[[#This Row],[Item_Rehab_WL]],[1]!Table2[#All],10,FALSE),0)</f>
        <v>0</v>
      </c>
      <c r="BC125" s="25">
        <f>IF(Table1[[#This Row],[Adjusted_ULife_HP]]=7,VLOOKUP(Table1[[#This Row],[Item_Handpump]],[1]!Table2[#All],10,FALSE),0)</f>
        <v>0</v>
      </c>
      <c r="BD125" s="25">
        <f>IF(Table1[[#This Row],[Adjusted_ULife_PF]]=7,VLOOKUP(Table1[[#This Row],[Item_Platform]],[1]!Table2[#All],10,FALSE),0)</f>
        <v>0</v>
      </c>
      <c r="BE125" s="25">
        <f>SUM(Table1[[#This Row],[yr 7_wl]:[yr 7_pf]])</f>
        <v>0</v>
      </c>
      <c r="BF125" s="25">
        <f>IF(Table1[[#This Row],[Years_Next_Rehab_Well]]=8,VLOOKUP(Table1[[#This Row],[Item_Rehab_WL]],[1]!Table2[#All],11,FALSE),0)</f>
        <v>0</v>
      </c>
      <c r="BG125" s="25">
        <f>IF(Table1[[#This Row],[Adjusted_ULife_HP]]=8,VLOOKUP(Table1[[#This Row],[Item_Handpump]],[1]!Table2[#All],11,FALSE),0)</f>
        <v>0</v>
      </c>
      <c r="BH125" s="25">
        <f>IF(Table1[[#This Row],[Adjusted_ULife_PF]]=8,VLOOKUP(Table1[[#This Row],[Item_Platform]],[1]!Table2[#All],11,FALSE),0)</f>
        <v>0</v>
      </c>
      <c r="BI125" s="25">
        <f>SUM(Table1[[#This Row],[yr 8_wl]:[yr 8_pf]])</f>
        <v>0</v>
      </c>
      <c r="BJ125" s="25">
        <f>IF(Table1[[#This Row],[Years_Next_Rehab_Well]]=9,VLOOKUP(Table1[[#This Row],[Item_Rehab_WL]],[1]!Table2[#All],12,FALSE),0)</f>
        <v>0</v>
      </c>
      <c r="BK125" s="25">
        <f>IF(Table1[[#This Row],[Adjusted_ULife_HP]]=9,VLOOKUP(Table1[[#This Row],[Item_Handpump]],[1]!Table2[#All],12,FALSE),0)</f>
        <v>0</v>
      </c>
      <c r="BL125" s="25">
        <f>IF(Table1[[#This Row],[Adjusted_ULife_PF]]=9,VLOOKUP(Table1[[#This Row],[Item_Platform]],[1]!Table2[#All],12,FALSE),0)</f>
        <v>0</v>
      </c>
      <c r="BM125" s="25">
        <f>SUM(Table1[[#This Row],[yr 9_wl]:[yr 9_pf]])</f>
        <v>0</v>
      </c>
      <c r="BN125" s="25">
        <f>IF(Table1[[#This Row],[Years_Next_Rehab_Well]]=10,VLOOKUP(Table1[[#This Row],[Item_Rehab_WL]],[1]!Table2[#All],13,FALSE),0)</f>
        <v>0</v>
      </c>
      <c r="BO125" s="25">
        <f>IF(Table1[[#This Row],[Adjusted_ULife_HP]]=10,VLOOKUP(Table1[[#This Row],[Item_Handpump]],[1]!Table2[#All],13,FALSE),0)</f>
        <v>0</v>
      </c>
      <c r="BP125" s="25">
        <f>IF(Table1[[#This Row],[Adjusted_ULife_PF]]=10,VLOOKUP(Table1[[#This Row],[Item_Platform]],[1]!Table2[#All],13,FALSE),0)</f>
        <v>0</v>
      </c>
      <c r="BQ125" s="25">
        <f>SUM(Table1[[#This Row],[yr 10_wl]:[yr 10_pf]])</f>
        <v>0</v>
      </c>
      <c r="BR125" s="25">
        <f>IF(Table1[[#This Row],[Years_Next_Rehab_Well]]=11,VLOOKUP(Table1[[#This Row],[Item_Rehab_WL]],[1]!Table2[#All],14,FALSE),0)</f>
        <v>0</v>
      </c>
      <c r="BS125" s="25">
        <f>IF(Table1[[#This Row],[Adjusted_ULife_HP]]=11,VLOOKUP(Table1[[#This Row],[Item_Handpump]],[1]!Table2[#All],14,FALSE),0)</f>
        <v>0</v>
      </c>
      <c r="BT125" s="25">
        <f>IF(Table1[[#This Row],[Adjusted_ULife_PF]]=11,VLOOKUP(Table1[[#This Row],[Item_Platform]],[1]!Table2[#All],14,FALSE),0)</f>
        <v>0</v>
      </c>
      <c r="BU125" s="25">
        <f>SUM(Table1[[#This Row],[yr 11_wl]:[yr 11_pf]])</f>
        <v>0</v>
      </c>
      <c r="BV125" s="25">
        <f>IF(Table1[[#This Row],[Years_Next_Rehab_Well]]=12,VLOOKUP(Table1[[#This Row],[Item_Rehab_WL]],[1]!Table2[#All],15,FALSE),0)</f>
        <v>0</v>
      </c>
      <c r="BW125" s="25">
        <f>IF(Table1[[#This Row],[Adjusted_ULife_HP]]=12,VLOOKUP(Table1[[#This Row],[Item_Handpump]],[1]!Table2[#All],15,FALSE),0)</f>
        <v>0</v>
      </c>
      <c r="BX125" s="25">
        <f>IF(Table1[[#This Row],[Adjusted_ULife_PF]]=12,VLOOKUP(Table1[[#This Row],[Item_Platform]],[1]!Table2[#All],15,FALSE),0)</f>
        <v>0</v>
      </c>
      <c r="BY125" s="25">
        <f>SUM(Table1[[#This Row],[yr 12_wl]:[yr 12_pf]])</f>
        <v>0</v>
      </c>
      <c r="BZ125" s="25">
        <f>IF(Table1[[#This Row],[Years_Next_Rehab_Well]]=13,VLOOKUP(Table1[[#This Row],[Item_Rehab_WL]],[1]!Table2[#All],16,FALSE),0)</f>
        <v>0</v>
      </c>
      <c r="CA125" s="25">
        <f>IF(Table1[[#This Row],[Adjusted_ULife_HP]]=13,VLOOKUP(Table1[[#This Row],[Item_Handpump]],[1]!Table2[#All],16,FALSE),0)</f>
        <v>0</v>
      </c>
      <c r="CB125" s="25">
        <f>IF(Table1[[#This Row],[Adjusted_ULife_PF]]=13,VLOOKUP(Table1[[#This Row],[Item_Platform]],[1]!Table2[#All],16,FALSE),0)</f>
        <v>0</v>
      </c>
      <c r="CC125" s="25">
        <f>SUM(Table1[[#This Row],[yr 13_wl]:[yr 13_pf]])</f>
        <v>0</v>
      </c>
      <c r="CD125" s="12"/>
    </row>
    <row r="126" spans="1:82" s="11" customFormat="1" x14ac:dyDescent="0.25">
      <c r="A126" s="11" t="str">
        <f>IF([1]Input_monitoring_data!A122="","",[1]Input_monitoring_data!A122)</f>
        <v>nxk8-xpge-h486</v>
      </c>
      <c r="B126" s="22" t="str">
        <f>[1]Input_monitoring_data!BH122</f>
        <v>Kenyasi No.1</v>
      </c>
      <c r="C126" s="22" t="str">
        <f>[1]Input_monitoring_data!BI122</f>
        <v>Esinanim Yarokrom</v>
      </c>
      <c r="D126" s="22" t="str">
        <f>[1]Input_monitoring_data!P122</f>
        <v>6.9892166695149704</v>
      </c>
      <c r="E126" s="22" t="str">
        <f>[1]Input_monitoring_data!Q122</f>
        <v>-2.4763504229966378</v>
      </c>
      <c r="F126" s="22" t="str">
        <f>[1]Input_monitoring_data!V122</f>
        <v>Joans Adjei Premises</v>
      </c>
      <c r="G126" s="23" t="str">
        <f>[1]Input_monitoring_data!U122</f>
        <v>Borehole</v>
      </c>
      <c r="H126" s="22">
        <f>[1]Input_monitoring_data!X122</f>
        <v>2013</v>
      </c>
      <c r="I126" s="21" t="str">
        <f>[1]Input_monitoring_data!AB122</f>
        <v>Borehole redevelopment</v>
      </c>
      <c r="J126" s="21">
        <f>[1]Input_monitoring_data!AC122</f>
        <v>0</v>
      </c>
      <c r="K126" s="23" t="str">
        <f>[1]Input_monitoring_data!W122</f>
        <v>Solar Pump</v>
      </c>
      <c r="L126" s="22">
        <f>[1]Input_monitoring_data!X122</f>
        <v>2013</v>
      </c>
      <c r="M126" s="21" t="str">
        <f>IF([1]Input_monitoring_data!BL122&gt;'Point Sources_Asset_Register_'!L126,[1]Input_monitoring_data!BL122,"")</f>
        <v/>
      </c>
      <c r="N126" s="22" t="str">
        <f>[1]Input_monitoring_data!BQ122</f>
        <v>functional</v>
      </c>
      <c r="O126" s="22">
        <f>[1]Input_monitoring_data!AJ122</f>
        <v>0</v>
      </c>
      <c r="P126" s="23" t="s">
        <v>0</v>
      </c>
      <c r="Q126" s="22">
        <f>L126</f>
        <v>2013</v>
      </c>
      <c r="R126" s="21" t="str">
        <f>M126</f>
        <v/>
      </c>
      <c r="S126" s="20">
        <f>[1]Input_EUL_CRC_ERC!$B$17-Table1[[#This Row],[Year Installed_WL]]</f>
        <v>4</v>
      </c>
      <c r="T126" s="20">
        <f>[1]Input_EUL_CRC_ERC!$B$17-(IF(Table1[[#This Row],[Year Last_Rehab_WL ]]=0,Table1[[#This Row],[Year Installed_WL]],[1]Input_EUL_CRC_ERC!$B$17-Table1[[#This Row],[Year Last_Rehab_WL ]]))</f>
        <v>4</v>
      </c>
      <c r="U126" s="20">
        <f>(VLOOKUP(Table1[[#This Row],[Item_Rehab_WL]],[1]Input_EUL_CRC_ERC!$C$17:$E$27,2,FALSE)-Table1[[#This Row],[Last Rehab Age]])</f>
        <v>11</v>
      </c>
      <c r="V126" s="19">
        <f>[1]Input_EUL_CRC_ERC!$B$17-Table1[[#This Row],[Year Installed_HP]]</f>
        <v>4</v>
      </c>
      <c r="W126" s="19">
        <f>(VLOOKUP(Table1[[#This Row],[Item_Handpump]],[1]!Table2[#All],2,FALSE))-(IF(Table1[[#This Row],[Year Last_Rehab_HP]]="",Table1[[#This Row],[Current Age_Handpump]],[1]Input_EUL_CRC_ERC!$B$17-Table1[[#This Row],[Year Last_Rehab_HP]]))</f>
        <v>6</v>
      </c>
      <c r="X126" s="19">
        <f>[1]Input_EUL_CRC_ERC!$B$17-Table1[[#This Row],[Year Installed_PF]]</f>
        <v>4</v>
      </c>
      <c r="Y126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26" s="25">
        <f>IF(Table1[[#This Row],[Years_Next_Rehab_Well]]&lt;=0,VLOOKUP(Table1[[#This Row],[Item_Rehab_WL]],[1]!Table2[#All],3,FALSE),0)</f>
        <v>0</v>
      </c>
      <c r="AA126" s="18">
        <f>IF(Table1[[#This Row],[Adjusted_ULife_HP]]&lt;=0,VLOOKUP(Table1[[#This Row],[Item_Handpump]],[1]!Table2[#All],3,FALSE),0)</f>
        <v>0</v>
      </c>
      <c r="AB126" s="18">
        <f>IF(Table1[[#This Row],[Adjusted_ULife_PF]]&lt;=0,VLOOKUP(Table1[[#This Row],[Item_Platform]],[1]!Table2[#All],3,FALSE),0)</f>
        <v>0</v>
      </c>
      <c r="AC126" s="18">
        <f>SUM(Table1[[#This Row],[current yr_wl]:[current yr_pf]])</f>
        <v>0</v>
      </c>
      <c r="AD126" s="25">
        <f>IF(Table1[[#This Row],[Years_Next_Rehab_Well]]=1,VLOOKUP(Table1[[#This Row],[Item_Rehab_WL]],[1]!Table2[#All],4,FALSE),0)</f>
        <v>0</v>
      </c>
      <c r="AE126" s="25">
        <f>IF(Table1[[#This Row],[Adjusted_ULife_HP]]=1,VLOOKUP(Table1[[#This Row],[Item_Handpump]],[1]!Table2[#All],4,FALSE),0)</f>
        <v>0</v>
      </c>
      <c r="AF126" s="25">
        <f>IF(Table1[[#This Row],[Adjusted_ULife_PF]]=1,VLOOKUP(Table1[[#This Row],[Item_Platform]],[1]!Table2[#All],4,FALSE),0)</f>
        <v>0</v>
      </c>
      <c r="AG126" s="25">
        <f>SUM(Table1[[#This Row],[yr 1_wl]:[yr 1_pf]])</f>
        <v>0</v>
      </c>
      <c r="AH126" s="25">
        <f>IF(Table1[[#This Row],[Years_Next_Rehab_Well]]=2,VLOOKUP(Table1[[#This Row],[Item_Rehab_WL]],[1]!Table2[#All],5,FALSE),0)</f>
        <v>0</v>
      </c>
      <c r="AI126" s="25">
        <f>IF(Table1[[#This Row],[Adjusted_ULife_HP]]=2,VLOOKUP(Table1[[#This Row],[Item_Handpump]],[1]!Table2[#All],5,FALSE),0)</f>
        <v>0</v>
      </c>
      <c r="AJ126" s="25">
        <f>IF(Table1[[#This Row],[Adjusted_ULife_PF]]=2,VLOOKUP(Table1[[#This Row],[Item_Platform]],[1]!Table2[#All],5,FALSE),0)</f>
        <v>0</v>
      </c>
      <c r="AK126" s="25">
        <f>SUM(Table1[[#This Row],[yr 2_wl]:[yr 2_pf]])</f>
        <v>0</v>
      </c>
      <c r="AL126" s="25">
        <f>IF(Table1[[#This Row],[Years_Next_Rehab_Well]]=3,VLOOKUP(Table1[[#This Row],[Item_Rehab_WL]],[1]!Table2[#All],6,FALSE),0)</f>
        <v>0</v>
      </c>
      <c r="AM126" s="25">
        <f>IF(Table1[[#This Row],[Adjusted_ULife_HP]]=3,VLOOKUP(Table1[[#This Row],[Item_Handpump]],[1]!Table2[#All],6,FALSE),0)</f>
        <v>0</v>
      </c>
      <c r="AN126" s="25">
        <f>IF(Table1[[#This Row],[Adjusted_ULife_PF]]=3,VLOOKUP(Table1[[#This Row],[Item_Platform]],[1]!Table2[#All],6,FALSE),0)</f>
        <v>0</v>
      </c>
      <c r="AO126" s="25">
        <f>SUM(Table1[[#This Row],[yr 3_wl]:[yr 3_pf]])</f>
        <v>0</v>
      </c>
      <c r="AP126" s="25">
        <f>IF(Table1[[#This Row],[Years_Next_Rehab_Well]]=4,VLOOKUP(Table1[[#This Row],[Item_Rehab_WL]],[1]!Table2[#All],7,FALSE),0)</f>
        <v>0</v>
      </c>
      <c r="AQ126" s="25">
        <f>IF(Table1[[#This Row],[Adjusted_ULife_HP]]=4,VLOOKUP(Table1[[#This Row],[Item_Handpump]],[1]!Table2[#All],7,FALSE),0)</f>
        <v>0</v>
      </c>
      <c r="AR126" s="25">
        <f>IF(Table1[[#This Row],[Adjusted_ULife_PF]]=4,VLOOKUP(Table1[[#This Row],[Item_Platform]],[1]!Table2[#All],7,FALSE),0)</f>
        <v>0</v>
      </c>
      <c r="AS126" s="25">
        <f>SUM(Table1[[#This Row],[yr 4_wl]:[yr 4_pf]])</f>
        <v>0</v>
      </c>
      <c r="AT126" s="25">
        <f>IF(Table1[[#This Row],[Years_Next_Rehab_Well]]=5,VLOOKUP(Table1[[#This Row],[Item_Rehab_WL]],[1]!Table2[#All],8,FALSE),0)</f>
        <v>0</v>
      </c>
      <c r="AU126" s="25">
        <f>IF(Table1[[#This Row],[Adjusted_ULife_HP]]=5,VLOOKUP(Table1[[#This Row],[Item_Handpump]],[1]!Table2[#All],8,FALSE),0)</f>
        <v>0</v>
      </c>
      <c r="AV126" s="25">
        <f>IF(Table1[[#This Row],[Adjusted_ULife_PF]]=5,VLOOKUP(Table1[[#This Row],[Item_Platform]],[1]!Table2[#All],8,FALSE),0)</f>
        <v>0</v>
      </c>
      <c r="AW126" s="25">
        <f>SUM(Table1[[#This Row],[yr 5_wl]:[yr 5_pf]])</f>
        <v>0</v>
      </c>
      <c r="AX126" s="25">
        <f>IF(Table1[[#This Row],[Years_Next_Rehab_Well]]=6,VLOOKUP(Table1[[#This Row],[Item_Rehab_WL]],[1]!Table2[#All],9,FALSE),0)</f>
        <v>0</v>
      </c>
      <c r="AY126" s="25">
        <f>IF(Table1[[#This Row],[Adjusted_ULife_HP]]=6,VLOOKUP(Table1[[#This Row],[Item_Handpump]],[1]!Table2[#All],9,FALSE),0)</f>
        <v>789.52907407360033</v>
      </c>
      <c r="AZ126" s="25">
        <f>IF(Table1[[#This Row],[Adjusted_ULife_PF]]=6,VLOOKUP(Table1[[#This Row],[Item_Platform]],[1]!Table2[#All],9,FALSE),0)</f>
        <v>2960.7340277760022</v>
      </c>
      <c r="BA126" s="25">
        <f>SUM(Table1[[#This Row],[yr 6_wl]:[yr 6_pf]])</f>
        <v>3750.2631018496027</v>
      </c>
      <c r="BB126" s="25">
        <f>IF(Table1[[#This Row],[Years_Next_Rehab_Well]]=7,VLOOKUP(Table1[[#This Row],[Item_Rehab_WL]],[1]!Table2[#All],10,FALSE),0)</f>
        <v>0</v>
      </c>
      <c r="BC126" s="25">
        <f>IF(Table1[[#This Row],[Adjusted_ULife_HP]]=7,VLOOKUP(Table1[[#This Row],[Item_Handpump]],[1]!Table2[#All],10,FALSE),0)</f>
        <v>0</v>
      </c>
      <c r="BD126" s="25">
        <f>IF(Table1[[#This Row],[Adjusted_ULife_PF]]=7,VLOOKUP(Table1[[#This Row],[Item_Platform]],[1]!Table2[#All],10,FALSE),0)</f>
        <v>0</v>
      </c>
      <c r="BE126" s="25">
        <f>SUM(Table1[[#This Row],[yr 7_wl]:[yr 7_pf]])</f>
        <v>0</v>
      </c>
      <c r="BF126" s="25">
        <f>IF(Table1[[#This Row],[Years_Next_Rehab_Well]]=8,VLOOKUP(Table1[[#This Row],[Item_Rehab_WL]],[1]!Table2[#All],11,FALSE),0)</f>
        <v>0</v>
      </c>
      <c r="BG126" s="25">
        <f>IF(Table1[[#This Row],[Adjusted_ULife_HP]]=8,VLOOKUP(Table1[[#This Row],[Item_Handpump]],[1]!Table2[#All],11,FALSE),0)</f>
        <v>0</v>
      </c>
      <c r="BH126" s="25">
        <f>IF(Table1[[#This Row],[Adjusted_ULife_PF]]=8,VLOOKUP(Table1[[#This Row],[Item_Platform]],[1]!Table2[#All],11,FALSE),0)</f>
        <v>0</v>
      </c>
      <c r="BI126" s="25">
        <f>SUM(Table1[[#This Row],[yr 8_wl]:[yr 8_pf]])</f>
        <v>0</v>
      </c>
      <c r="BJ126" s="25">
        <f>IF(Table1[[#This Row],[Years_Next_Rehab_Well]]=9,VLOOKUP(Table1[[#This Row],[Item_Rehab_WL]],[1]!Table2[#All],12,FALSE),0)</f>
        <v>0</v>
      </c>
      <c r="BK126" s="25">
        <f>IF(Table1[[#This Row],[Adjusted_ULife_HP]]=9,VLOOKUP(Table1[[#This Row],[Item_Handpump]],[1]!Table2[#All],12,FALSE),0)</f>
        <v>0</v>
      </c>
      <c r="BL126" s="25">
        <f>IF(Table1[[#This Row],[Adjusted_ULife_PF]]=9,VLOOKUP(Table1[[#This Row],[Item_Platform]],[1]!Table2[#All],12,FALSE),0)</f>
        <v>0</v>
      </c>
      <c r="BM126" s="25">
        <f>SUM(Table1[[#This Row],[yr 9_wl]:[yr 9_pf]])</f>
        <v>0</v>
      </c>
      <c r="BN126" s="25">
        <f>IF(Table1[[#This Row],[Years_Next_Rehab_Well]]=10,VLOOKUP(Table1[[#This Row],[Item_Rehab_WL]],[1]!Table2[#All],13,FALSE),0)</f>
        <v>0</v>
      </c>
      <c r="BO126" s="25">
        <f>IF(Table1[[#This Row],[Adjusted_ULife_HP]]=10,VLOOKUP(Table1[[#This Row],[Item_Handpump]],[1]!Table2[#All],13,FALSE),0)</f>
        <v>0</v>
      </c>
      <c r="BP126" s="25">
        <f>IF(Table1[[#This Row],[Adjusted_ULife_PF]]=10,VLOOKUP(Table1[[#This Row],[Item_Platform]],[1]!Table2[#All],13,FALSE),0)</f>
        <v>0</v>
      </c>
      <c r="BQ126" s="25">
        <f>SUM(Table1[[#This Row],[yr 10_wl]:[yr 10_pf]])</f>
        <v>0</v>
      </c>
      <c r="BR126" s="25">
        <f>IF(Table1[[#This Row],[Years_Next_Rehab_Well]]=11,VLOOKUP(Table1[[#This Row],[Item_Rehab_WL]],[1]!Table2[#All],14,FALSE),0)</f>
        <v>12754.683308933567</v>
      </c>
      <c r="BS126" s="25">
        <f>IF(Table1[[#This Row],[Adjusted_ULife_HP]]=11,VLOOKUP(Table1[[#This Row],[Item_Handpump]],[1]!Table2[#All],14,FALSE),0)</f>
        <v>0</v>
      </c>
      <c r="BT126" s="25">
        <f>IF(Table1[[#This Row],[Adjusted_ULife_PF]]=11,VLOOKUP(Table1[[#This Row],[Item_Platform]],[1]!Table2[#All],14,FALSE),0)</f>
        <v>0</v>
      </c>
      <c r="BU126" s="25">
        <f>SUM(Table1[[#This Row],[yr 11_wl]:[yr 11_pf]])</f>
        <v>12754.683308933567</v>
      </c>
      <c r="BV126" s="25">
        <f>IF(Table1[[#This Row],[Years_Next_Rehab_Well]]=12,VLOOKUP(Table1[[#This Row],[Item_Rehab_WL]],[1]!Table2[#All],15,FALSE),0)</f>
        <v>0</v>
      </c>
      <c r="BW126" s="25">
        <f>IF(Table1[[#This Row],[Adjusted_ULife_HP]]=12,VLOOKUP(Table1[[#This Row],[Item_Handpump]],[1]!Table2[#All],15,FALSE),0)</f>
        <v>0</v>
      </c>
      <c r="BX126" s="25">
        <f>IF(Table1[[#This Row],[Adjusted_ULife_PF]]=12,VLOOKUP(Table1[[#This Row],[Item_Platform]],[1]!Table2[#All],15,FALSE),0)</f>
        <v>0</v>
      </c>
      <c r="BY126" s="25">
        <f>SUM(Table1[[#This Row],[yr 12_wl]:[yr 12_pf]])</f>
        <v>0</v>
      </c>
      <c r="BZ126" s="25">
        <f>IF(Table1[[#This Row],[Years_Next_Rehab_Well]]=13,VLOOKUP(Table1[[#This Row],[Item_Rehab_WL]],[1]!Table2[#All],16,FALSE),0)</f>
        <v>0</v>
      </c>
      <c r="CA126" s="25">
        <f>IF(Table1[[#This Row],[Adjusted_ULife_HP]]=13,VLOOKUP(Table1[[#This Row],[Item_Handpump]],[1]!Table2[#All],16,FALSE),0)</f>
        <v>0</v>
      </c>
      <c r="CB126" s="25">
        <f>IF(Table1[[#This Row],[Adjusted_ULife_PF]]=13,VLOOKUP(Table1[[#This Row],[Item_Platform]],[1]!Table2[#All],16,FALSE),0)</f>
        <v>0</v>
      </c>
      <c r="CC126" s="25">
        <f>SUM(Table1[[#This Row],[yr 13_wl]:[yr 13_pf]])</f>
        <v>0</v>
      </c>
      <c r="CD126" s="12"/>
    </row>
    <row r="127" spans="1:82" s="11" customFormat="1" x14ac:dyDescent="0.25">
      <c r="A127" s="11" t="str">
        <f>IF([1]Input_monitoring_data!A123="","",[1]Input_monitoring_data!A123)</f>
        <v>p1v8-07v9-793a</v>
      </c>
      <c r="B127" s="22" t="str">
        <f>[1]Input_monitoring_data!BH123</f>
        <v>Goamu</v>
      </c>
      <c r="C127" s="22" t="str">
        <f>[1]Input_monitoring_data!BI123</f>
        <v>Asempanaye</v>
      </c>
      <c r="D127" s="22" t="str">
        <f>[1]Input_monitoring_data!P123</f>
        <v>7.018125260700438</v>
      </c>
      <c r="E127" s="22" t="str">
        <f>[1]Input_monitoring_data!Q123</f>
        <v>-2.423886961031739</v>
      </c>
      <c r="F127" s="22" t="str">
        <f>[1]Input_monitoring_data!V123</f>
        <v>Near Church Of Pentecost</v>
      </c>
      <c r="G127" s="23" t="str">
        <f>[1]Input_monitoring_data!U123</f>
        <v>Borehole</v>
      </c>
      <c r="H127" s="22">
        <f>[1]Input_monitoring_data!X123</f>
        <v>1998</v>
      </c>
      <c r="I127" s="21" t="str">
        <f>[1]Input_monitoring_data!AB123</f>
        <v>Borehole redevelopment</v>
      </c>
      <c r="J127" s="21">
        <f>[1]Input_monitoring_data!AC123</f>
        <v>0</v>
      </c>
      <c r="K127" s="23" t="str">
        <f>[1]Input_monitoring_data!W123</f>
        <v>AfriDev</v>
      </c>
      <c r="L127" s="22">
        <f>[1]Input_monitoring_data!X123</f>
        <v>1998</v>
      </c>
      <c r="M127" s="21">
        <f>IF([1]Input_monitoring_data!BL123&gt;'Point Sources_Asset_Register_'!L127,[1]Input_monitoring_data!BL123,"")</f>
        <v>2016</v>
      </c>
      <c r="N127" s="22" t="str">
        <f>[1]Input_monitoring_data!BQ123</f>
        <v>partially functional</v>
      </c>
      <c r="O127" s="22">
        <f>[1]Input_monitoring_data!AJ123</f>
        <v>0</v>
      </c>
      <c r="P127" s="23" t="s">
        <v>0</v>
      </c>
      <c r="Q127" s="22">
        <f>L127</f>
        <v>1998</v>
      </c>
      <c r="R127" s="21">
        <f>M127</f>
        <v>2016</v>
      </c>
      <c r="S127" s="20">
        <f>[1]Input_EUL_CRC_ERC!$B$17-Table1[[#This Row],[Year Installed_WL]]</f>
        <v>19</v>
      </c>
      <c r="T127" s="20">
        <f>[1]Input_EUL_CRC_ERC!$B$17-(IF(Table1[[#This Row],[Year Last_Rehab_WL ]]=0,Table1[[#This Row],[Year Installed_WL]],[1]Input_EUL_CRC_ERC!$B$17-Table1[[#This Row],[Year Last_Rehab_WL ]]))</f>
        <v>19</v>
      </c>
      <c r="U127" s="20">
        <f>(VLOOKUP(Table1[[#This Row],[Item_Rehab_WL]],[1]Input_EUL_CRC_ERC!$C$17:$E$27,2,FALSE)-Table1[[#This Row],[Last Rehab Age]])</f>
        <v>-4</v>
      </c>
      <c r="V127" s="19">
        <f>[1]Input_EUL_CRC_ERC!$B$17-Table1[[#This Row],[Year Installed_HP]]</f>
        <v>19</v>
      </c>
      <c r="W127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27" s="19">
        <f>[1]Input_EUL_CRC_ERC!$B$17-Table1[[#This Row],[Year Installed_PF]]</f>
        <v>19</v>
      </c>
      <c r="Y127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27" s="25">
        <f>IF(Table1[[#This Row],[Years_Next_Rehab_Well]]&lt;=0,VLOOKUP(Table1[[#This Row],[Item_Rehab_WL]],[1]!Table2[#All],3,FALSE),0)</f>
        <v>3666.6666666666665</v>
      </c>
      <c r="AA127" s="18">
        <f>IF(Table1[[#This Row],[Adjusted_ULife_HP]]&lt;=0,VLOOKUP(Table1[[#This Row],[Item_Handpump]],[1]!Table2[#All],3,FALSE),0)</f>
        <v>0</v>
      </c>
      <c r="AB127" s="18">
        <f>IF(Table1[[#This Row],[Adjusted_ULife_PF]]&lt;=0,VLOOKUP(Table1[[#This Row],[Item_Platform]],[1]!Table2[#All],3,FALSE),0)</f>
        <v>0</v>
      </c>
      <c r="AC127" s="18">
        <f>SUM(Table1[[#This Row],[current yr_wl]:[current yr_pf]])</f>
        <v>3666.6666666666665</v>
      </c>
      <c r="AD127" s="25">
        <f>IF(Table1[[#This Row],[Years_Next_Rehab_Well]]=1,VLOOKUP(Table1[[#This Row],[Item_Rehab_WL]],[1]!Table2[#All],4,FALSE),0)</f>
        <v>0</v>
      </c>
      <c r="AE127" s="25">
        <f>IF(Table1[[#This Row],[Adjusted_ULife_HP]]=1,VLOOKUP(Table1[[#This Row],[Item_Handpump]],[1]!Table2[#All],4,FALSE),0)</f>
        <v>0</v>
      </c>
      <c r="AF127" s="25">
        <f>IF(Table1[[#This Row],[Adjusted_ULife_PF]]=1,VLOOKUP(Table1[[#This Row],[Item_Platform]],[1]!Table2[#All],4,FALSE),0)</f>
        <v>0</v>
      </c>
      <c r="AG127" s="25">
        <f>SUM(Table1[[#This Row],[yr 1_wl]:[yr 1_pf]])</f>
        <v>0</v>
      </c>
      <c r="AH127" s="25">
        <f>IF(Table1[[#This Row],[Years_Next_Rehab_Well]]=2,VLOOKUP(Table1[[#This Row],[Item_Rehab_WL]],[1]!Table2[#All],5,FALSE),0)</f>
        <v>0</v>
      </c>
      <c r="AI127" s="25">
        <f>IF(Table1[[#This Row],[Adjusted_ULife_HP]]=2,VLOOKUP(Table1[[#This Row],[Item_Handpump]],[1]!Table2[#All],5,FALSE),0)</f>
        <v>0</v>
      </c>
      <c r="AJ127" s="25">
        <f>IF(Table1[[#This Row],[Adjusted_ULife_PF]]=2,VLOOKUP(Table1[[#This Row],[Item_Platform]],[1]!Table2[#All],5,FALSE),0)</f>
        <v>0</v>
      </c>
      <c r="AK127" s="25">
        <f>SUM(Table1[[#This Row],[yr 2_wl]:[yr 2_pf]])</f>
        <v>0</v>
      </c>
      <c r="AL127" s="25">
        <f>IF(Table1[[#This Row],[Years_Next_Rehab_Well]]=3,VLOOKUP(Table1[[#This Row],[Item_Rehab_WL]],[1]!Table2[#All],6,FALSE),0)</f>
        <v>0</v>
      </c>
      <c r="AM127" s="25">
        <f>IF(Table1[[#This Row],[Adjusted_ULife_HP]]=3,VLOOKUP(Table1[[#This Row],[Item_Handpump]],[1]!Table2[#All],6,FALSE),0)</f>
        <v>0</v>
      </c>
      <c r="AN127" s="25">
        <f>IF(Table1[[#This Row],[Adjusted_ULife_PF]]=3,VLOOKUP(Table1[[#This Row],[Item_Platform]],[1]!Table2[#All],6,FALSE),0)</f>
        <v>0</v>
      </c>
      <c r="AO127" s="25">
        <f>SUM(Table1[[#This Row],[yr 3_wl]:[yr 3_pf]])</f>
        <v>0</v>
      </c>
      <c r="AP127" s="25">
        <f>IF(Table1[[#This Row],[Years_Next_Rehab_Well]]=4,VLOOKUP(Table1[[#This Row],[Item_Rehab_WL]],[1]!Table2[#All],7,FALSE),0)</f>
        <v>0</v>
      </c>
      <c r="AQ127" s="25">
        <f>IF(Table1[[#This Row],[Adjusted_ULife_HP]]=4,VLOOKUP(Table1[[#This Row],[Item_Handpump]],[1]!Table2[#All],7,FALSE),0)</f>
        <v>0</v>
      </c>
      <c r="AR127" s="25">
        <f>IF(Table1[[#This Row],[Adjusted_ULife_PF]]=4,VLOOKUP(Table1[[#This Row],[Item_Platform]],[1]!Table2[#All],7,FALSE),0)</f>
        <v>0</v>
      </c>
      <c r="AS127" s="25">
        <f>SUM(Table1[[#This Row],[yr 4_wl]:[yr 4_pf]])</f>
        <v>0</v>
      </c>
      <c r="AT127" s="25">
        <f>IF(Table1[[#This Row],[Years_Next_Rehab_Well]]=5,VLOOKUP(Table1[[#This Row],[Item_Rehab_WL]],[1]!Table2[#All],8,FALSE),0)</f>
        <v>0</v>
      </c>
      <c r="AU127" s="25">
        <f>IF(Table1[[#This Row],[Adjusted_ULife_HP]]=5,VLOOKUP(Table1[[#This Row],[Item_Handpump]],[1]!Table2[#All],8,FALSE),0)</f>
        <v>0</v>
      </c>
      <c r="AV127" s="25">
        <f>IF(Table1[[#This Row],[Adjusted_ULife_PF]]=5,VLOOKUP(Table1[[#This Row],[Item_Platform]],[1]!Table2[#All],8,FALSE),0)</f>
        <v>0</v>
      </c>
      <c r="AW127" s="25">
        <f>SUM(Table1[[#This Row],[yr 5_wl]:[yr 5_pf]])</f>
        <v>0</v>
      </c>
      <c r="AX127" s="25">
        <f>IF(Table1[[#This Row],[Years_Next_Rehab_Well]]=6,VLOOKUP(Table1[[#This Row],[Item_Rehab_WL]],[1]!Table2[#All],9,FALSE),0)</f>
        <v>0</v>
      </c>
      <c r="AY127" s="25">
        <f>IF(Table1[[#This Row],[Adjusted_ULife_HP]]=6,VLOOKUP(Table1[[#This Row],[Item_Handpump]],[1]!Table2[#All],9,FALSE),0)</f>
        <v>0</v>
      </c>
      <c r="AZ127" s="25">
        <f>IF(Table1[[#This Row],[Adjusted_ULife_PF]]=6,VLOOKUP(Table1[[#This Row],[Item_Platform]],[1]!Table2[#All],9,FALSE),0)</f>
        <v>0</v>
      </c>
      <c r="BA127" s="25">
        <f>SUM(Table1[[#This Row],[yr 6_wl]:[yr 6_pf]])</f>
        <v>0</v>
      </c>
      <c r="BB127" s="25">
        <f>IF(Table1[[#This Row],[Years_Next_Rehab_Well]]=7,VLOOKUP(Table1[[#This Row],[Item_Rehab_WL]],[1]!Table2[#All],10,FALSE),0)</f>
        <v>0</v>
      </c>
      <c r="BC127" s="25">
        <f>IF(Table1[[#This Row],[Adjusted_ULife_HP]]=7,VLOOKUP(Table1[[#This Row],[Item_Handpump]],[1]!Table2[#All],10,FALSE),0)</f>
        <v>0</v>
      </c>
      <c r="BD127" s="25">
        <f>IF(Table1[[#This Row],[Adjusted_ULife_PF]]=7,VLOOKUP(Table1[[#This Row],[Item_Platform]],[1]!Table2[#All],10,FALSE),0)</f>
        <v>0</v>
      </c>
      <c r="BE127" s="25">
        <f>SUM(Table1[[#This Row],[yr 7_wl]:[yr 7_pf]])</f>
        <v>0</v>
      </c>
      <c r="BF127" s="25">
        <f>IF(Table1[[#This Row],[Years_Next_Rehab_Well]]=8,VLOOKUP(Table1[[#This Row],[Item_Rehab_WL]],[1]!Table2[#All],11,FALSE),0)</f>
        <v>0</v>
      </c>
      <c r="BG127" s="25">
        <f>IF(Table1[[#This Row],[Adjusted_ULife_HP]]=8,VLOOKUP(Table1[[#This Row],[Item_Handpump]],[1]!Table2[#All],11,FALSE),0)</f>
        <v>0</v>
      </c>
      <c r="BH127" s="25">
        <f>IF(Table1[[#This Row],[Adjusted_ULife_PF]]=8,VLOOKUP(Table1[[#This Row],[Item_Platform]],[1]!Table2[#All],11,FALSE),0)</f>
        <v>0</v>
      </c>
      <c r="BI127" s="25">
        <f>SUM(Table1[[#This Row],[yr 8_wl]:[yr 8_pf]])</f>
        <v>0</v>
      </c>
      <c r="BJ127" s="25">
        <f>IF(Table1[[#This Row],[Years_Next_Rehab_Well]]=9,VLOOKUP(Table1[[#This Row],[Item_Rehab_WL]],[1]!Table2[#All],12,FALSE),0)</f>
        <v>0</v>
      </c>
      <c r="BK127" s="25">
        <f>IF(Table1[[#This Row],[Adjusted_ULife_HP]]=9,VLOOKUP(Table1[[#This Row],[Item_Handpump]],[1]!Table2[#All],12,FALSE),0)</f>
        <v>0</v>
      </c>
      <c r="BL127" s="25">
        <f>IF(Table1[[#This Row],[Adjusted_ULife_PF]]=9,VLOOKUP(Table1[[#This Row],[Item_Platform]],[1]!Table2[#All],12,FALSE),0)</f>
        <v>4159.6181361752842</v>
      </c>
      <c r="BM127" s="25">
        <f>SUM(Table1[[#This Row],[yr 9_wl]:[yr 9_pf]])</f>
        <v>4159.6181361752842</v>
      </c>
      <c r="BN127" s="25">
        <f>IF(Table1[[#This Row],[Years_Next_Rehab_Well]]=10,VLOOKUP(Table1[[#This Row],[Item_Rehab_WL]],[1]!Table2[#All],13,FALSE),0)</f>
        <v>0</v>
      </c>
      <c r="BO127" s="25">
        <f>IF(Table1[[#This Row],[Adjusted_ULife_HP]]=10,VLOOKUP(Table1[[#This Row],[Item_Handpump]],[1]!Table2[#All],13,FALSE),0)</f>
        <v>0</v>
      </c>
      <c r="BP127" s="25">
        <f>IF(Table1[[#This Row],[Adjusted_ULife_PF]]=10,VLOOKUP(Table1[[#This Row],[Item_Platform]],[1]!Table2[#All],13,FALSE),0)</f>
        <v>0</v>
      </c>
      <c r="BQ127" s="25">
        <f>SUM(Table1[[#This Row],[yr 10_wl]:[yr 10_pf]])</f>
        <v>0</v>
      </c>
      <c r="BR127" s="25">
        <f>IF(Table1[[#This Row],[Years_Next_Rehab_Well]]=11,VLOOKUP(Table1[[#This Row],[Item_Rehab_WL]],[1]!Table2[#All],14,FALSE),0)</f>
        <v>0</v>
      </c>
      <c r="BS127" s="25">
        <f>IF(Table1[[#This Row],[Adjusted_ULife_HP]]=11,VLOOKUP(Table1[[#This Row],[Item_Handpump]],[1]!Table2[#All],14,FALSE),0)</f>
        <v>0</v>
      </c>
      <c r="BT127" s="25">
        <f>IF(Table1[[#This Row],[Adjusted_ULife_PF]]=11,VLOOKUP(Table1[[#This Row],[Item_Platform]],[1]!Table2[#All],14,FALSE),0)</f>
        <v>0</v>
      </c>
      <c r="BU127" s="25">
        <f>SUM(Table1[[#This Row],[yr 11_wl]:[yr 11_pf]])</f>
        <v>0</v>
      </c>
      <c r="BV127" s="25">
        <f>IF(Table1[[#This Row],[Years_Next_Rehab_Well]]=12,VLOOKUP(Table1[[#This Row],[Item_Rehab_WL]],[1]!Table2[#All],15,FALSE),0)</f>
        <v>0</v>
      </c>
      <c r="BW127" s="25">
        <f>IF(Table1[[#This Row],[Adjusted_ULife_HP]]=12,VLOOKUP(Table1[[#This Row],[Item_Handpump]],[1]!Table2[#All],15,FALSE),0)</f>
        <v>0</v>
      </c>
      <c r="BX127" s="25">
        <f>IF(Table1[[#This Row],[Adjusted_ULife_PF]]=12,VLOOKUP(Table1[[#This Row],[Item_Platform]],[1]!Table2[#All],15,FALSE),0)</f>
        <v>0</v>
      </c>
      <c r="BY127" s="25">
        <f>SUM(Table1[[#This Row],[yr 12_wl]:[yr 12_pf]])</f>
        <v>0</v>
      </c>
      <c r="BZ127" s="25">
        <f>IF(Table1[[#This Row],[Years_Next_Rehab_Well]]=13,VLOOKUP(Table1[[#This Row],[Item_Rehab_WL]],[1]!Table2[#All],16,FALSE),0)</f>
        <v>0</v>
      </c>
      <c r="CA127" s="25">
        <f>IF(Table1[[#This Row],[Adjusted_ULife_HP]]=13,VLOOKUP(Table1[[#This Row],[Item_Handpump]],[1]!Table2[#All],16,FALSE),0)</f>
        <v>0</v>
      </c>
      <c r="CB127" s="25">
        <f>IF(Table1[[#This Row],[Adjusted_ULife_PF]]=13,VLOOKUP(Table1[[#This Row],[Item_Platform]],[1]!Table2[#All],16,FALSE),0)</f>
        <v>0</v>
      </c>
      <c r="CC127" s="25">
        <f>SUM(Table1[[#This Row],[yr 13_wl]:[yr 13_pf]])</f>
        <v>0</v>
      </c>
      <c r="CD127" s="12"/>
    </row>
    <row r="128" spans="1:82" s="11" customFormat="1" x14ac:dyDescent="0.25">
      <c r="A128" s="11" t="str">
        <f>IF([1]Input_monitoring_data!A124="","",[1]Input_monitoring_data!A124)</f>
        <v>p2tp-8wdr-kc3c</v>
      </c>
      <c r="B128" s="22" t="str">
        <f>[1]Input_monitoring_data!BH124</f>
        <v>KENYASI NO.2</v>
      </c>
      <c r="C128" s="22" t="str">
        <f>[1]Input_monitoring_data!BI124</f>
        <v>KENYASI NO.2</v>
      </c>
      <c r="D128" s="22" t="str">
        <f>[1]Input_monitoring_data!P124</f>
        <v>7.0623517223748475</v>
      </c>
      <c r="E128" s="22" t="str">
        <f>[1]Input_monitoring_data!Q124</f>
        <v>-2.392650328801002</v>
      </c>
      <c r="F128" s="22" t="str">
        <f>[1]Input_monitoring_data!V124</f>
        <v>Near Mrs Joyce Poku cocoa farm</v>
      </c>
      <c r="G128" s="23" t="str">
        <f>[1]Input_monitoring_data!U124</f>
        <v>Borehole</v>
      </c>
      <c r="H128" s="22">
        <f>[1]Input_monitoring_data!X124</f>
        <v>2016</v>
      </c>
      <c r="I128" s="21" t="str">
        <f>[1]Input_monitoring_data!AB124</f>
        <v>Borehole redevelopment</v>
      </c>
      <c r="J128" s="21">
        <f>[1]Input_monitoring_data!AC124</f>
        <v>0</v>
      </c>
      <c r="K128" s="23" t="str">
        <f>[1]Input_monitoring_data!W124</f>
        <v>AfriDev</v>
      </c>
      <c r="L128" s="22">
        <f>[1]Input_monitoring_data!X124</f>
        <v>2016</v>
      </c>
      <c r="M128" s="21" t="str">
        <f>IF([1]Input_monitoring_data!BL124&gt;'Point Sources_Asset_Register_'!L128,[1]Input_monitoring_data!BL124,"")</f>
        <v/>
      </c>
      <c r="N128" s="22" t="str">
        <f>[1]Input_monitoring_data!BQ124</f>
        <v>functional</v>
      </c>
      <c r="O128" s="22">
        <f>[1]Input_monitoring_data!AJ124</f>
        <v>0</v>
      </c>
      <c r="P128" s="23" t="s">
        <v>0</v>
      </c>
      <c r="Q128" s="22">
        <f>L128</f>
        <v>2016</v>
      </c>
      <c r="R128" s="21" t="str">
        <f>M128</f>
        <v/>
      </c>
      <c r="S128" s="20">
        <f>[1]Input_EUL_CRC_ERC!$B$17-Table1[[#This Row],[Year Installed_WL]]</f>
        <v>1</v>
      </c>
      <c r="T128" s="20">
        <f>[1]Input_EUL_CRC_ERC!$B$17-(IF(Table1[[#This Row],[Year Last_Rehab_WL ]]=0,Table1[[#This Row],[Year Installed_WL]],[1]Input_EUL_CRC_ERC!$B$17-Table1[[#This Row],[Year Last_Rehab_WL ]]))</f>
        <v>1</v>
      </c>
      <c r="U128" s="20">
        <f>(VLOOKUP(Table1[[#This Row],[Item_Rehab_WL]],[1]Input_EUL_CRC_ERC!$C$17:$E$27,2,FALSE)-Table1[[#This Row],[Last Rehab Age]])</f>
        <v>14</v>
      </c>
      <c r="V128" s="26">
        <f>[1]Input_EUL_CRC_ERC!$B$17-Table1[[#This Row],[Year Installed_HP]]</f>
        <v>1</v>
      </c>
      <c r="W128" s="26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28" s="26">
        <f>[1]Input_EUL_CRC_ERC!$B$17-Table1[[#This Row],[Year Installed_PF]]</f>
        <v>1</v>
      </c>
      <c r="Y128" s="26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28" s="25">
        <f>IF(Table1[[#This Row],[Years_Next_Rehab_Well]]&lt;=0,VLOOKUP(Table1[[#This Row],[Item_Rehab_WL]],[1]!Table2[#All],3,FALSE),0)</f>
        <v>0</v>
      </c>
      <c r="AA128" s="25">
        <f>IF(Table1[[#This Row],[Adjusted_ULife_HP]]&lt;=0,VLOOKUP(Table1[[#This Row],[Item_Handpump]],[1]!Table2[#All],3,FALSE),0)</f>
        <v>0</v>
      </c>
      <c r="AB128" s="25">
        <f>IF(Table1[[#This Row],[Adjusted_ULife_PF]]&lt;=0,VLOOKUP(Table1[[#This Row],[Item_Platform]],[1]!Table2[#All],3,FALSE),0)</f>
        <v>0</v>
      </c>
      <c r="AC128" s="25">
        <f>SUM(Table1[[#This Row],[current yr_wl]:[current yr_pf]])</f>
        <v>0</v>
      </c>
      <c r="AD128" s="25">
        <f>IF(Table1[[#This Row],[Years_Next_Rehab_Well]]=1,VLOOKUP(Table1[[#This Row],[Item_Rehab_WL]],[1]!Table2[#All],4,FALSE),0)</f>
        <v>0</v>
      </c>
      <c r="AE128" s="25">
        <f>IF(Table1[[#This Row],[Adjusted_ULife_HP]]=1,VLOOKUP(Table1[[#This Row],[Item_Handpump]],[1]!Table2[#All],4,FALSE),0)</f>
        <v>0</v>
      </c>
      <c r="AF128" s="25">
        <f>IF(Table1[[#This Row],[Adjusted_ULife_PF]]=1,VLOOKUP(Table1[[#This Row],[Item_Platform]],[1]!Table2[#All],4,FALSE),0)</f>
        <v>0</v>
      </c>
      <c r="AG128" s="25">
        <f>SUM(Table1[[#This Row],[yr 1_wl]:[yr 1_pf]])</f>
        <v>0</v>
      </c>
      <c r="AH128" s="25">
        <f>IF(Table1[[#This Row],[Years_Next_Rehab_Well]]=2,VLOOKUP(Table1[[#This Row],[Item_Rehab_WL]],[1]!Table2[#All],5,FALSE),0)</f>
        <v>0</v>
      </c>
      <c r="AI128" s="25">
        <f>IF(Table1[[#This Row],[Adjusted_ULife_HP]]=2,VLOOKUP(Table1[[#This Row],[Item_Handpump]],[1]!Table2[#All],5,FALSE),0)</f>
        <v>0</v>
      </c>
      <c r="AJ128" s="25">
        <f>IF(Table1[[#This Row],[Adjusted_ULife_PF]]=2,VLOOKUP(Table1[[#This Row],[Item_Platform]],[1]!Table2[#All],5,FALSE),0)</f>
        <v>0</v>
      </c>
      <c r="AK128" s="25">
        <f>SUM(Table1[[#This Row],[yr 2_wl]:[yr 2_pf]])</f>
        <v>0</v>
      </c>
      <c r="AL128" s="25">
        <f>IF(Table1[[#This Row],[Years_Next_Rehab_Well]]=3,VLOOKUP(Table1[[#This Row],[Item_Rehab_WL]],[1]!Table2[#All],6,FALSE),0)</f>
        <v>0</v>
      </c>
      <c r="AM128" s="25">
        <f>IF(Table1[[#This Row],[Adjusted_ULife_HP]]=3,VLOOKUP(Table1[[#This Row],[Item_Handpump]],[1]!Table2[#All],6,FALSE),0)</f>
        <v>0</v>
      </c>
      <c r="AN128" s="25">
        <f>IF(Table1[[#This Row],[Adjusted_ULife_PF]]=3,VLOOKUP(Table1[[#This Row],[Item_Platform]],[1]!Table2[#All],6,FALSE),0)</f>
        <v>0</v>
      </c>
      <c r="AO128" s="25">
        <f>SUM(Table1[[#This Row],[yr 3_wl]:[yr 3_pf]])</f>
        <v>0</v>
      </c>
      <c r="AP128" s="25">
        <f>IF(Table1[[#This Row],[Years_Next_Rehab_Well]]=4,VLOOKUP(Table1[[#This Row],[Item_Rehab_WL]],[1]!Table2[#All],7,FALSE),0)</f>
        <v>0</v>
      </c>
      <c r="AQ128" s="25">
        <f>IF(Table1[[#This Row],[Adjusted_ULife_HP]]=4,VLOOKUP(Table1[[#This Row],[Item_Handpump]],[1]!Table2[#All],7,FALSE),0)</f>
        <v>0</v>
      </c>
      <c r="AR128" s="25">
        <f>IF(Table1[[#This Row],[Adjusted_ULife_PF]]=4,VLOOKUP(Table1[[#This Row],[Item_Platform]],[1]!Table2[#All],7,FALSE),0)</f>
        <v>0</v>
      </c>
      <c r="AS128" s="25">
        <f>SUM(Table1[[#This Row],[yr 4_wl]:[yr 4_pf]])</f>
        <v>0</v>
      </c>
      <c r="AT128" s="25">
        <f>IF(Table1[[#This Row],[Years_Next_Rehab_Well]]=5,VLOOKUP(Table1[[#This Row],[Item_Rehab_WL]],[1]!Table2[#All],8,FALSE),0)</f>
        <v>0</v>
      </c>
      <c r="AU128" s="25">
        <f>IF(Table1[[#This Row],[Adjusted_ULife_HP]]=5,VLOOKUP(Table1[[#This Row],[Item_Handpump]],[1]!Table2[#All],8,FALSE),0)</f>
        <v>0</v>
      </c>
      <c r="AV128" s="25">
        <f>IF(Table1[[#This Row],[Adjusted_ULife_PF]]=5,VLOOKUP(Table1[[#This Row],[Item_Platform]],[1]!Table2[#All],8,FALSE),0)</f>
        <v>0</v>
      </c>
      <c r="AW128" s="25">
        <f>SUM(Table1[[#This Row],[yr 5_wl]:[yr 5_pf]])</f>
        <v>0</v>
      </c>
      <c r="AX128" s="25">
        <f>IF(Table1[[#This Row],[Years_Next_Rehab_Well]]=6,VLOOKUP(Table1[[#This Row],[Item_Rehab_WL]],[1]!Table2[#All],9,FALSE),0)</f>
        <v>0</v>
      </c>
      <c r="AY128" s="25">
        <f>IF(Table1[[#This Row],[Adjusted_ULife_HP]]=6,VLOOKUP(Table1[[#This Row],[Item_Handpump]],[1]!Table2[#All],9,FALSE),0)</f>
        <v>0</v>
      </c>
      <c r="AZ128" s="25">
        <f>IF(Table1[[#This Row],[Adjusted_ULife_PF]]=6,VLOOKUP(Table1[[#This Row],[Item_Platform]],[1]!Table2[#All],9,FALSE),0)</f>
        <v>0</v>
      </c>
      <c r="BA128" s="25">
        <f>SUM(Table1[[#This Row],[yr 6_wl]:[yr 6_pf]])</f>
        <v>0</v>
      </c>
      <c r="BB128" s="25">
        <f>IF(Table1[[#This Row],[Years_Next_Rehab_Well]]=7,VLOOKUP(Table1[[#This Row],[Item_Rehab_WL]],[1]!Table2[#All],10,FALSE),0)</f>
        <v>0</v>
      </c>
      <c r="BC128" s="25">
        <f>IF(Table1[[#This Row],[Adjusted_ULife_HP]]=7,VLOOKUP(Table1[[#This Row],[Item_Handpump]],[1]!Table2[#All],10,FALSE),0)</f>
        <v>0</v>
      </c>
      <c r="BD128" s="25">
        <f>IF(Table1[[#This Row],[Adjusted_ULife_PF]]=7,VLOOKUP(Table1[[#This Row],[Item_Platform]],[1]!Table2[#All],10,FALSE),0)</f>
        <v>0</v>
      </c>
      <c r="BE128" s="25">
        <f>SUM(Table1[[#This Row],[yr 7_wl]:[yr 7_pf]])</f>
        <v>0</v>
      </c>
      <c r="BF128" s="25">
        <f>IF(Table1[[#This Row],[Years_Next_Rehab_Well]]=8,VLOOKUP(Table1[[#This Row],[Item_Rehab_WL]],[1]!Table2[#All],11,FALSE),0)</f>
        <v>0</v>
      </c>
      <c r="BG128" s="25">
        <f>IF(Table1[[#This Row],[Adjusted_ULife_HP]]=8,VLOOKUP(Table1[[#This Row],[Item_Handpump]],[1]!Table2[#All],11,FALSE),0)</f>
        <v>0</v>
      </c>
      <c r="BH128" s="25">
        <f>IF(Table1[[#This Row],[Adjusted_ULife_PF]]=8,VLOOKUP(Table1[[#This Row],[Item_Platform]],[1]!Table2[#All],11,FALSE),0)</f>
        <v>0</v>
      </c>
      <c r="BI128" s="25">
        <f>SUM(Table1[[#This Row],[yr 8_wl]:[yr 8_pf]])</f>
        <v>0</v>
      </c>
      <c r="BJ128" s="25">
        <f>IF(Table1[[#This Row],[Years_Next_Rehab_Well]]=9,VLOOKUP(Table1[[#This Row],[Item_Rehab_WL]],[1]!Table2[#All],12,FALSE),0)</f>
        <v>0</v>
      </c>
      <c r="BK128" s="25">
        <f>IF(Table1[[#This Row],[Adjusted_ULife_HP]]=9,VLOOKUP(Table1[[#This Row],[Item_Handpump]],[1]!Table2[#All],12,FALSE),0)</f>
        <v>0</v>
      </c>
      <c r="BL128" s="25">
        <f>IF(Table1[[#This Row],[Adjusted_ULife_PF]]=9,VLOOKUP(Table1[[#This Row],[Item_Platform]],[1]!Table2[#All],12,FALSE),0)</f>
        <v>4159.6181361752842</v>
      </c>
      <c r="BM128" s="25">
        <f>SUM(Table1[[#This Row],[yr 9_wl]:[yr 9_pf]])</f>
        <v>4159.6181361752842</v>
      </c>
      <c r="BN128" s="25">
        <f>IF(Table1[[#This Row],[Years_Next_Rehab_Well]]=10,VLOOKUP(Table1[[#This Row],[Item_Rehab_WL]],[1]!Table2[#All],13,FALSE),0)</f>
        <v>0</v>
      </c>
      <c r="BO128" s="25">
        <f>IF(Table1[[#This Row],[Adjusted_ULife_HP]]=10,VLOOKUP(Table1[[#This Row],[Item_Handpump]],[1]!Table2[#All],13,FALSE),0)</f>
        <v>0</v>
      </c>
      <c r="BP128" s="25">
        <f>IF(Table1[[#This Row],[Adjusted_ULife_PF]]=10,VLOOKUP(Table1[[#This Row],[Item_Platform]],[1]!Table2[#All],13,FALSE),0)</f>
        <v>0</v>
      </c>
      <c r="BQ128" s="25">
        <f>SUM(Table1[[#This Row],[yr 10_wl]:[yr 10_pf]])</f>
        <v>0</v>
      </c>
      <c r="BR128" s="25">
        <f>IF(Table1[[#This Row],[Years_Next_Rehab_Well]]=11,VLOOKUP(Table1[[#This Row],[Item_Rehab_WL]],[1]!Table2[#All],14,FALSE),0)</f>
        <v>0</v>
      </c>
      <c r="BS128" s="25">
        <f>IF(Table1[[#This Row],[Adjusted_ULife_HP]]=11,VLOOKUP(Table1[[#This Row],[Item_Handpump]],[1]!Table2[#All],14,FALSE),0)</f>
        <v>0</v>
      </c>
      <c r="BT128" s="25">
        <f>IF(Table1[[#This Row],[Adjusted_ULife_PF]]=11,VLOOKUP(Table1[[#This Row],[Item_Platform]],[1]!Table2[#All],14,FALSE),0)</f>
        <v>0</v>
      </c>
      <c r="BU128" s="25">
        <f>SUM(Table1[[#This Row],[yr 11_wl]:[yr 11_pf]])</f>
        <v>0</v>
      </c>
      <c r="BV128" s="25">
        <f>IF(Table1[[#This Row],[Years_Next_Rehab_Well]]=12,VLOOKUP(Table1[[#This Row],[Item_Rehab_WL]],[1]!Table2[#All],15,FALSE),0)</f>
        <v>0</v>
      </c>
      <c r="BW128" s="25">
        <f>IF(Table1[[#This Row],[Adjusted_ULife_HP]]=12,VLOOKUP(Table1[[#This Row],[Item_Handpump]],[1]!Table2[#All],15,FALSE),0)</f>
        <v>0</v>
      </c>
      <c r="BX128" s="25">
        <f>IF(Table1[[#This Row],[Adjusted_ULife_PF]]=12,VLOOKUP(Table1[[#This Row],[Item_Platform]],[1]!Table2[#All],15,FALSE),0)</f>
        <v>0</v>
      </c>
      <c r="BY128" s="25">
        <f>SUM(Table1[[#This Row],[yr 12_wl]:[yr 12_pf]])</f>
        <v>0</v>
      </c>
      <c r="BZ128" s="25">
        <f>IF(Table1[[#This Row],[Years_Next_Rehab_Well]]=13,VLOOKUP(Table1[[#This Row],[Item_Rehab_WL]],[1]!Table2[#All],16,FALSE),0)</f>
        <v>0</v>
      </c>
      <c r="CA128" s="25">
        <f>IF(Table1[[#This Row],[Adjusted_ULife_HP]]=13,VLOOKUP(Table1[[#This Row],[Item_Handpump]],[1]!Table2[#All],16,FALSE),0)</f>
        <v>0</v>
      </c>
      <c r="CB128" s="25">
        <f>IF(Table1[[#This Row],[Adjusted_ULife_PF]]=13,VLOOKUP(Table1[[#This Row],[Item_Platform]],[1]!Table2[#All],16,FALSE),0)</f>
        <v>0</v>
      </c>
      <c r="CC128" s="25">
        <f>SUM(Table1[[#This Row],[yr 13_wl]:[yr 13_pf]])</f>
        <v>0</v>
      </c>
      <c r="CD128" s="12"/>
    </row>
    <row r="129" spans="1:82" s="11" customFormat="1" x14ac:dyDescent="0.25">
      <c r="A129" s="11" t="str">
        <f>IF([1]Input_monitoring_data!A125="","",[1]Input_monitoring_data!A125)</f>
        <v>p7ku-j25q-779f</v>
      </c>
      <c r="B129" s="22" t="str">
        <f>[1]Input_monitoring_data!BH125</f>
        <v>Kenyasi No.1</v>
      </c>
      <c r="C129" s="22" t="str">
        <f>[1]Input_monitoring_data!BI125</f>
        <v>Prison Camp</v>
      </c>
      <c r="D129" s="22" t="str">
        <f>[1]Input_monitoring_data!P125</f>
        <v>6.999540703775565</v>
      </c>
      <c r="E129" s="22" t="str">
        <f>[1]Input_monitoring_data!Q125</f>
        <v>-2.3777040668428366</v>
      </c>
      <c r="F129" s="22" t="str">
        <f>[1]Input_monitoring_data!V125</f>
        <v>Prisons Farm</v>
      </c>
      <c r="G129" s="23" t="str">
        <f>[1]Input_monitoring_data!U125</f>
        <v>Borehole</v>
      </c>
      <c r="H129" s="22">
        <f>[1]Input_monitoring_data!X125</f>
        <v>1987</v>
      </c>
      <c r="I129" s="21" t="str">
        <f>[1]Input_monitoring_data!AB125</f>
        <v>Borehole redevelopment</v>
      </c>
      <c r="J129" s="21">
        <f>[1]Input_monitoring_data!AC125</f>
        <v>0</v>
      </c>
      <c r="K129" s="23" t="str">
        <f>[1]Input_monitoring_data!W125</f>
        <v>Ghana modified India Mark II</v>
      </c>
      <c r="L129" s="22">
        <f>[1]Input_monitoring_data!X125</f>
        <v>1987</v>
      </c>
      <c r="M129" s="21" t="str">
        <f>IF([1]Input_monitoring_data!BL125&gt;'Point Sources_Asset_Register_'!L129,[1]Input_monitoring_data!BL125,"")</f>
        <v/>
      </c>
      <c r="N129" s="22" t="str">
        <f>[1]Input_monitoring_data!BQ125</f>
        <v>not functional</v>
      </c>
      <c r="O129" s="22">
        <f>[1]Input_monitoring_data!AJ125</f>
        <v>0</v>
      </c>
      <c r="P129" s="23" t="s">
        <v>0</v>
      </c>
      <c r="Q129" s="22">
        <f>L129</f>
        <v>1987</v>
      </c>
      <c r="R129" s="21" t="str">
        <f>M129</f>
        <v/>
      </c>
      <c r="S129" s="20">
        <f>[1]Input_EUL_CRC_ERC!$B$17-Table1[[#This Row],[Year Installed_WL]]</f>
        <v>30</v>
      </c>
      <c r="T129" s="20">
        <f>[1]Input_EUL_CRC_ERC!$B$17-(IF(Table1[[#This Row],[Year Last_Rehab_WL ]]=0,Table1[[#This Row],[Year Installed_WL]],[1]Input_EUL_CRC_ERC!$B$17-Table1[[#This Row],[Year Last_Rehab_WL ]]))</f>
        <v>30</v>
      </c>
      <c r="U129" s="20">
        <f>(VLOOKUP(Table1[[#This Row],[Item_Rehab_WL]],[1]Input_EUL_CRC_ERC!$C$17:$E$27,2,FALSE)-Table1[[#This Row],[Last Rehab Age]])</f>
        <v>-15</v>
      </c>
      <c r="V129" s="26">
        <f>[1]Input_EUL_CRC_ERC!$B$17-Table1[[#This Row],[Year Installed_HP]]</f>
        <v>30</v>
      </c>
      <c r="W129" s="26">
        <f>(VLOOKUP(Table1[[#This Row],[Item_Handpump]],[1]!Table2[#All],2,FALSE))-(IF(Table1[[#This Row],[Year Last_Rehab_HP]]="",Table1[[#This Row],[Current Age_Handpump]],[1]Input_EUL_CRC_ERC!$B$17-Table1[[#This Row],[Year Last_Rehab_HP]]))</f>
        <v>-10</v>
      </c>
      <c r="X129" s="26">
        <f>[1]Input_EUL_CRC_ERC!$B$17-Table1[[#This Row],[Year Installed_PF]]</f>
        <v>30</v>
      </c>
      <c r="Y129" s="26">
        <f>(VLOOKUP(Table1[[#This Row],[Item_Platform]],[1]!Table2[#All],2,FALSE))-(IF(Table1[[#This Row],[Year Last_Rehab_PF]]="",Table1[[#This Row],[Current Age_Platform]],[1]Input_EUL_CRC_ERC!$B$17-Table1[[#This Row],[Year Last_Rehab_PF]]))</f>
        <v>-20</v>
      </c>
      <c r="Z129" s="25">
        <f>IF(Table1[[#This Row],[Years_Next_Rehab_Well]]&lt;=0,VLOOKUP(Table1[[#This Row],[Item_Rehab_WL]],[1]!Table2[#All],3,FALSE),0)</f>
        <v>3666.6666666666665</v>
      </c>
      <c r="AA129" s="25">
        <f>IF(Table1[[#This Row],[Adjusted_ULife_HP]]&lt;=0,VLOOKUP(Table1[[#This Row],[Item_Handpump]],[1]!Table2[#All],3,FALSE),0)</f>
        <v>400</v>
      </c>
      <c r="AB129" s="25">
        <f>IF(Table1[[#This Row],[Adjusted_ULife_PF]]&lt;=0,VLOOKUP(Table1[[#This Row],[Item_Platform]],[1]!Table2[#All],3,FALSE),0)</f>
        <v>1500</v>
      </c>
      <c r="AC129" s="25">
        <f>SUM(Table1[[#This Row],[current yr_wl]:[current yr_pf]])</f>
        <v>5566.6666666666661</v>
      </c>
      <c r="AD129" s="25">
        <f>IF(Table1[[#This Row],[Years_Next_Rehab_Well]]=1,VLOOKUP(Table1[[#This Row],[Item_Rehab_WL]],[1]!Table2[#All],4,FALSE),0)</f>
        <v>0</v>
      </c>
      <c r="AE129" s="25">
        <f>IF(Table1[[#This Row],[Adjusted_ULife_HP]]=1,VLOOKUP(Table1[[#This Row],[Item_Handpump]],[1]!Table2[#All],4,FALSE),0)</f>
        <v>0</v>
      </c>
      <c r="AF129" s="25">
        <f>IF(Table1[[#This Row],[Adjusted_ULife_PF]]=1,VLOOKUP(Table1[[#This Row],[Item_Platform]],[1]!Table2[#All],4,FALSE),0)</f>
        <v>0</v>
      </c>
      <c r="AG129" s="25">
        <f>SUM(Table1[[#This Row],[yr 1_wl]:[yr 1_pf]])</f>
        <v>0</v>
      </c>
      <c r="AH129" s="25">
        <f>IF(Table1[[#This Row],[Years_Next_Rehab_Well]]=2,VLOOKUP(Table1[[#This Row],[Item_Rehab_WL]],[1]!Table2[#All],5,FALSE),0)</f>
        <v>0</v>
      </c>
      <c r="AI129" s="25">
        <f>IF(Table1[[#This Row],[Adjusted_ULife_HP]]=2,VLOOKUP(Table1[[#This Row],[Item_Handpump]],[1]!Table2[#All],5,FALSE),0)</f>
        <v>0</v>
      </c>
      <c r="AJ129" s="25">
        <f>IF(Table1[[#This Row],[Adjusted_ULife_PF]]=2,VLOOKUP(Table1[[#This Row],[Item_Platform]],[1]!Table2[#All],5,FALSE),0)</f>
        <v>0</v>
      </c>
      <c r="AK129" s="25">
        <f>SUM(Table1[[#This Row],[yr 2_wl]:[yr 2_pf]])</f>
        <v>0</v>
      </c>
      <c r="AL129" s="25">
        <f>IF(Table1[[#This Row],[Years_Next_Rehab_Well]]=3,VLOOKUP(Table1[[#This Row],[Item_Rehab_WL]],[1]!Table2[#All],6,FALSE),0)</f>
        <v>0</v>
      </c>
      <c r="AM129" s="25">
        <f>IF(Table1[[#This Row],[Adjusted_ULife_HP]]=3,VLOOKUP(Table1[[#This Row],[Item_Handpump]],[1]!Table2[#All],6,FALSE),0)</f>
        <v>0</v>
      </c>
      <c r="AN129" s="25">
        <f>IF(Table1[[#This Row],[Adjusted_ULife_PF]]=3,VLOOKUP(Table1[[#This Row],[Item_Platform]],[1]!Table2[#All],6,FALSE),0)</f>
        <v>0</v>
      </c>
      <c r="AO129" s="25">
        <f>SUM(Table1[[#This Row],[yr 3_wl]:[yr 3_pf]])</f>
        <v>0</v>
      </c>
      <c r="AP129" s="25">
        <f>IF(Table1[[#This Row],[Years_Next_Rehab_Well]]=4,VLOOKUP(Table1[[#This Row],[Item_Rehab_WL]],[1]!Table2[#All],7,FALSE),0)</f>
        <v>0</v>
      </c>
      <c r="AQ129" s="25">
        <f>IF(Table1[[#This Row],[Adjusted_ULife_HP]]=4,VLOOKUP(Table1[[#This Row],[Item_Handpump]],[1]!Table2[#All],7,FALSE),0)</f>
        <v>0</v>
      </c>
      <c r="AR129" s="25">
        <f>IF(Table1[[#This Row],[Adjusted_ULife_PF]]=4,VLOOKUP(Table1[[#This Row],[Item_Platform]],[1]!Table2[#All],7,FALSE),0)</f>
        <v>0</v>
      </c>
      <c r="AS129" s="25">
        <f>SUM(Table1[[#This Row],[yr 4_wl]:[yr 4_pf]])</f>
        <v>0</v>
      </c>
      <c r="AT129" s="25">
        <f>IF(Table1[[#This Row],[Years_Next_Rehab_Well]]=5,VLOOKUP(Table1[[#This Row],[Item_Rehab_WL]],[1]!Table2[#All],8,FALSE),0)</f>
        <v>0</v>
      </c>
      <c r="AU129" s="25">
        <f>IF(Table1[[#This Row],[Adjusted_ULife_HP]]=5,VLOOKUP(Table1[[#This Row],[Item_Handpump]],[1]!Table2[#All],8,FALSE),0)</f>
        <v>0</v>
      </c>
      <c r="AV129" s="25">
        <f>IF(Table1[[#This Row],[Adjusted_ULife_PF]]=5,VLOOKUP(Table1[[#This Row],[Item_Platform]],[1]!Table2[#All],8,FALSE),0)</f>
        <v>0</v>
      </c>
      <c r="AW129" s="25">
        <f>SUM(Table1[[#This Row],[yr 5_wl]:[yr 5_pf]])</f>
        <v>0</v>
      </c>
      <c r="AX129" s="25">
        <f>IF(Table1[[#This Row],[Years_Next_Rehab_Well]]=6,VLOOKUP(Table1[[#This Row],[Item_Rehab_WL]],[1]!Table2[#All],9,FALSE),0)</f>
        <v>0</v>
      </c>
      <c r="AY129" s="25">
        <f>IF(Table1[[#This Row],[Adjusted_ULife_HP]]=6,VLOOKUP(Table1[[#This Row],[Item_Handpump]],[1]!Table2[#All],9,FALSE),0)</f>
        <v>0</v>
      </c>
      <c r="AZ129" s="25">
        <f>IF(Table1[[#This Row],[Adjusted_ULife_PF]]=6,VLOOKUP(Table1[[#This Row],[Item_Platform]],[1]!Table2[#All],9,FALSE),0)</f>
        <v>0</v>
      </c>
      <c r="BA129" s="25">
        <f>SUM(Table1[[#This Row],[yr 6_wl]:[yr 6_pf]])</f>
        <v>0</v>
      </c>
      <c r="BB129" s="25">
        <f>IF(Table1[[#This Row],[Years_Next_Rehab_Well]]=7,VLOOKUP(Table1[[#This Row],[Item_Rehab_WL]],[1]!Table2[#All],10,FALSE),0)</f>
        <v>0</v>
      </c>
      <c r="BC129" s="25">
        <f>IF(Table1[[#This Row],[Adjusted_ULife_HP]]=7,VLOOKUP(Table1[[#This Row],[Item_Handpump]],[1]!Table2[#All],10,FALSE),0)</f>
        <v>0</v>
      </c>
      <c r="BD129" s="25">
        <f>IF(Table1[[#This Row],[Adjusted_ULife_PF]]=7,VLOOKUP(Table1[[#This Row],[Item_Platform]],[1]!Table2[#All],10,FALSE),0)</f>
        <v>0</v>
      </c>
      <c r="BE129" s="25">
        <f>SUM(Table1[[#This Row],[yr 7_wl]:[yr 7_pf]])</f>
        <v>0</v>
      </c>
      <c r="BF129" s="25">
        <f>IF(Table1[[#This Row],[Years_Next_Rehab_Well]]=8,VLOOKUP(Table1[[#This Row],[Item_Rehab_WL]],[1]!Table2[#All],11,FALSE),0)</f>
        <v>0</v>
      </c>
      <c r="BG129" s="25">
        <f>IF(Table1[[#This Row],[Adjusted_ULife_HP]]=8,VLOOKUP(Table1[[#This Row],[Item_Handpump]],[1]!Table2[#All],11,FALSE),0)</f>
        <v>0</v>
      </c>
      <c r="BH129" s="25">
        <f>IF(Table1[[#This Row],[Adjusted_ULife_PF]]=8,VLOOKUP(Table1[[#This Row],[Item_Platform]],[1]!Table2[#All],11,FALSE),0)</f>
        <v>0</v>
      </c>
      <c r="BI129" s="25">
        <f>SUM(Table1[[#This Row],[yr 8_wl]:[yr 8_pf]])</f>
        <v>0</v>
      </c>
      <c r="BJ129" s="25">
        <f>IF(Table1[[#This Row],[Years_Next_Rehab_Well]]=9,VLOOKUP(Table1[[#This Row],[Item_Rehab_WL]],[1]!Table2[#All],12,FALSE),0)</f>
        <v>0</v>
      </c>
      <c r="BK129" s="25">
        <f>IF(Table1[[#This Row],[Adjusted_ULife_HP]]=9,VLOOKUP(Table1[[#This Row],[Item_Handpump]],[1]!Table2[#All],12,FALSE),0)</f>
        <v>0</v>
      </c>
      <c r="BL129" s="25">
        <f>IF(Table1[[#This Row],[Adjusted_ULife_PF]]=9,VLOOKUP(Table1[[#This Row],[Item_Platform]],[1]!Table2[#All],12,FALSE),0)</f>
        <v>0</v>
      </c>
      <c r="BM129" s="25">
        <f>SUM(Table1[[#This Row],[yr 9_wl]:[yr 9_pf]])</f>
        <v>0</v>
      </c>
      <c r="BN129" s="25">
        <f>IF(Table1[[#This Row],[Years_Next_Rehab_Well]]=10,VLOOKUP(Table1[[#This Row],[Item_Rehab_WL]],[1]!Table2[#All],13,FALSE),0)</f>
        <v>0</v>
      </c>
      <c r="BO129" s="25">
        <f>IF(Table1[[#This Row],[Adjusted_ULife_HP]]=10,VLOOKUP(Table1[[#This Row],[Item_Handpump]],[1]!Table2[#All],13,FALSE),0)</f>
        <v>0</v>
      </c>
      <c r="BP129" s="25">
        <f>IF(Table1[[#This Row],[Adjusted_ULife_PF]]=10,VLOOKUP(Table1[[#This Row],[Item_Platform]],[1]!Table2[#All],13,FALSE),0)</f>
        <v>0</v>
      </c>
      <c r="BQ129" s="25">
        <f>SUM(Table1[[#This Row],[yr 10_wl]:[yr 10_pf]])</f>
        <v>0</v>
      </c>
      <c r="BR129" s="25">
        <f>IF(Table1[[#This Row],[Years_Next_Rehab_Well]]=11,VLOOKUP(Table1[[#This Row],[Item_Rehab_WL]],[1]!Table2[#All],14,FALSE),0)</f>
        <v>0</v>
      </c>
      <c r="BS129" s="25">
        <f>IF(Table1[[#This Row],[Adjusted_ULife_HP]]=11,VLOOKUP(Table1[[#This Row],[Item_Handpump]],[1]!Table2[#All],14,FALSE),0)</f>
        <v>0</v>
      </c>
      <c r="BT129" s="25">
        <f>IF(Table1[[#This Row],[Adjusted_ULife_PF]]=11,VLOOKUP(Table1[[#This Row],[Item_Platform]],[1]!Table2[#All],14,FALSE),0)</f>
        <v>0</v>
      </c>
      <c r="BU129" s="25">
        <f>SUM(Table1[[#This Row],[yr 11_wl]:[yr 11_pf]])</f>
        <v>0</v>
      </c>
      <c r="BV129" s="25">
        <f>IF(Table1[[#This Row],[Years_Next_Rehab_Well]]=12,VLOOKUP(Table1[[#This Row],[Item_Rehab_WL]],[1]!Table2[#All],15,FALSE),0)</f>
        <v>0</v>
      </c>
      <c r="BW129" s="25">
        <f>IF(Table1[[#This Row],[Adjusted_ULife_HP]]=12,VLOOKUP(Table1[[#This Row],[Item_Handpump]],[1]!Table2[#All],15,FALSE),0)</f>
        <v>0</v>
      </c>
      <c r="BX129" s="25">
        <f>IF(Table1[[#This Row],[Adjusted_ULife_PF]]=12,VLOOKUP(Table1[[#This Row],[Item_Platform]],[1]!Table2[#All],15,FALSE),0)</f>
        <v>0</v>
      </c>
      <c r="BY129" s="25">
        <f>SUM(Table1[[#This Row],[yr 12_wl]:[yr 12_pf]])</f>
        <v>0</v>
      </c>
      <c r="BZ129" s="25">
        <f>IF(Table1[[#This Row],[Years_Next_Rehab_Well]]=13,VLOOKUP(Table1[[#This Row],[Item_Rehab_WL]],[1]!Table2[#All],16,FALSE),0)</f>
        <v>0</v>
      </c>
      <c r="CA129" s="25">
        <f>IF(Table1[[#This Row],[Adjusted_ULife_HP]]=13,VLOOKUP(Table1[[#This Row],[Item_Handpump]],[1]!Table2[#All],16,FALSE),0)</f>
        <v>0</v>
      </c>
      <c r="CB129" s="25">
        <f>IF(Table1[[#This Row],[Adjusted_ULife_PF]]=13,VLOOKUP(Table1[[#This Row],[Item_Platform]],[1]!Table2[#All],16,FALSE),0)</f>
        <v>0</v>
      </c>
      <c r="CC129" s="25">
        <f>SUM(Table1[[#This Row],[yr 13_wl]:[yr 13_pf]])</f>
        <v>0</v>
      </c>
      <c r="CD129" s="12"/>
    </row>
    <row r="130" spans="1:82" s="11" customFormat="1" x14ac:dyDescent="0.25">
      <c r="A130" s="11" t="str">
        <f>IF([1]Input_monitoring_data!A126="","",[1]Input_monitoring_data!A126)</f>
        <v>pcew-edr7-dqq6</v>
      </c>
      <c r="B130" s="22" t="str">
        <f>[1]Input_monitoring_data!BH126</f>
        <v>Goamu</v>
      </c>
      <c r="C130" s="22" t="str">
        <f>[1]Input_monitoring_data!BI126</f>
        <v>Goamu-Camp</v>
      </c>
      <c r="D130" s="22" t="str">
        <f>[1]Input_monitoring_data!P126</f>
        <v>7.036445272772029</v>
      </c>
      <c r="E130" s="22" t="str">
        <f>[1]Input_monitoring_data!Q126</f>
        <v>-2.511619731514274</v>
      </c>
      <c r="F130" s="22" t="str">
        <f>[1]Input_monitoring_data!V126</f>
        <v>Gyidem</v>
      </c>
      <c r="G130" s="23" t="str">
        <f>[1]Input_monitoring_data!U126</f>
        <v>Borehole</v>
      </c>
      <c r="H130" s="22">
        <f>[1]Input_monitoring_data!X126</f>
        <v>2012</v>
      </c>
      <c r="I130" s="21" t="str">
        <f>[1]Input_monitoring_data!AB126</f>
        <v>Borehole redevelopment</v>
      </c>
      <c r="J130" s="21">
        <f>[1]Input_monitoring_data!AC126</f>
        <v>0</v>
      </c>
      <c r="K130" s="23" t="str">
        <f>[1]Input_monitoring_data!W126</f>
        <v>Solar Pump</v>
      </c>
      <c r="L130" s="22">
        <f>[1]Input_monitoring_data!X126</f>
        <v>2012</v>
      </c>
      <c r="M130" s="21" t="str">
        <f>IF([1]Input_monitoring_data!BL126&gt;'Point Sources_Asset_Register_'!L130,[1]Input_monitoring_data!BL126,"")</f>
        <v/>
      </c>
      <c r="N130" s="22" t="str">
        <f>[1]Input_monitoring_data!BQ126</f>
        <v>not functional</v>
      </c>
      <c r="O130" s="22">
        <f>[1]Input_monitoring_data!AJ126</f>
        <v>0</v>
      </c>
      <c r="P130" s="23" t="s">
        <v>0</v>
      </c>
      <c r="Q130" s="22">
        <f>L130</f>
        <v>2012</v>
      </c>
      <c r="R130" s="21" t="str">
        <f>M130</f>
        <v/>
      </c>
      <c r="S130" s="20">
        <f>[1]Input_EUL_CRC_ERC!$B$17-Table1[[#This Row],[Year Installed_WL]]</f>
        <v>5</v>
      </c>
      <c r="T130" s="20">
        <f>[1]Input_EUL_CRC_ERC!$B$17-(IF(Table1[[#This Row],[Year Last_Rehab_WL ]]=0,Table1[[#This Row],[Year Installed_WL]],[1]Input_EUL_CRC_ERC!$B$17-Table1[[#This Row],[Year Last_Rehab_WL ]]))</f>
        <v>5</v>
      </c>
      <c r="U130" s="20">
        <f>(VLOOKUP(Table1[[#This Row],[Item_Rehab_WL]],[1]Input_EUL_CRC_ERC!$C$17:$E$27,2,FALSE)-Table1[[#This Row],[Last Rehab Age]])</f>
        <v>10</v>
      </c>
      <c r="V130" s="19">
        <f>[1]Input_EUL_CRC_ERC!$B$17-Table1[[#This Row],[Year Installed_HP]]</f>
        <v>5</v>
      </c>
      <c r="W130" s="19">
        <f>(VLOOKUP(Table1[[#This Row],[Item_Handpump]],[1]!Table2[#All],2,FALSE))-(IF(Table1[[#This Row],[Year Last_Rehab_HP]]="",Table1[[#This Row],[Current Age_Handpump]],[1]Input_EUL_CRC_ERC!$B$17-Table1[[#This Row],[Year Last_Rehab_HP]]))</f>
        <v>5</v>
      </c>
      <c r="X130" s="19">
        <f>[1]Input_EUL_CRC_ERC!$B$17-Table1[[#This Row],[Year Installed_PF]]</f>
        <v>5</v>
      </c>
      <c r="Y130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130" s="25">
        <f>IF(Table1[[#This Row],[Years_Next_Rehab_Well]]&lt;=0,VLOOKUP(Table1[[#This Row],[Item_Rehab_WL]],[1]!Table2[#All],3,FALSE),0)</f>
        <v>0</v>
      </c>
      <c r="AA130" s="18">
        <f>IF(Table1[[#This Row],[Adjusted_ULife_HP]]&lt;=0,VLOOKUP(Table1[[#This Row],[Item_Handpump]],[1]!Table2[#All],3,FALSE),0)</f>
        <v>0</v>
      </c>
      <c r="AB130" s="18">
        <f>IF(Table1[[#This Row],[Adjusted_ULife_PF]]&lt;=0,VLOOKUP(Table1[[#This Row],[Item_Platform]],[1]!Table2[#All],3,FALSE),0)</f>
        <v>0</v>
      </c>
      <c r="AC130" s="18">
        <f>SUM(Table1[[#This Row],[current yr_wl]:[current yr_pf]])</f>
        <v>0</v>
      </c>
      <c r="AD130" s="25">
        <f>IF(Table1[[#This Row],[Years_Next_Rehab_Well]]=1,VLOOKUP(Table1[[#This Row],[Item_Rehab_WL]],[1]!Table2[#All],4,FALSE),0)</f>
        <v>0</v>
      </c>
      <c r="AE130" s="25">
        <f>IF(Table1[[#This Row],[Adjusted_ULife_HP]]=1,VLOOKUP(Table1[[#This Row],[Item_Handpump]],[1]!Table2[#All],4,FALSE),0)</f>
        <v>0</v>
      </c>
      <c r="AF130" s="25">
        <f>IF(Table1[[#This Row],[Adjusted_ULife_PF]]=1,VLOOKUP(Table1[[#This Row],[Item_Platform]],[1]!Table2[#All],4,FALSE),0)</f>
        <v>0</v>
      </c>
      <c r="AG130" s="25">
        <f>SUM(Table1[[#This Row],[yr 1_wl]:[yr 1_pf]])</f>
        <v>0</v>
      </c>
      <c r="AH130" s="25">
        <f>IF(Table1[[#This Row],[Years_Next_Rehab_Well]]=2,VLOOKUP(Table1[[#This Row],[Item_Rehab_WL]],[1]!Table2[#All],5,FALSE),0)</f>
        <v>0</v>
      </c>
      <c r="AI130" s="25">
        <f>IF(Table1[[#This Row],[Adjusted_ULife_HP]]=2,VLOOKUP(Table1[[#This Row],[Item_Handpump]],[1]!Table2[#All],5,FALSE),0)</f>
        <v>0</v>
      </c>
      <c r="AJ130" s="25">
        <f>IF(Table1[[#This Row],[Adjusted_ULife_PF]]=2,VLOOKUP(Table1[[#This Row],[Item_Platform]],[1]!Table2[#All],5,FALSE),0)</f>
        <v>0</v>
      </c>
      <c r="AK130" s="25">
        <f>SUM(Table1[[#This Row],[yr 2_wl]:[yr 2_pf]])</f>
        <v>0</v>
      </c>
      <c r="AL130" s="25">
        <f>IF(Table1[[#This Row],[Years_Next_Rehab_Well]]=3,VLOOKUP(Table1[[#This Row],[Item_Rehab_WL]],[1]!Table2[#All],6,FALSE),0)</f>
        <v>0</v>
      </c>
      <c r="AM130" s="25">
        <f>IF(Table1[[#This Row],[Adjusted_ULife_HP]]=3,VLOOKUP(Table1[[#This Row],[Item_Handpump]],[1]!Table2[#All],6,FALSE),0)</f>
        <v>0</v>
      </c>
      <c r="AN130" s="25">
        <f>IF(Table1[[#This Row],[Adjusted_ULife_PF]]=3,VLOOKUP(Table1[[#This Row],[Item_Platform]],[1]!Table2[#All],6,FALSE),0)</f>
        <v>0</v>
      </c>
      <c r="AO130" s="25">
        <f>SUM(Table1[[#This Row],[yr 3_wl]:[yr 3_pf]])</f>
        <v>0</v>
      </c>
      <c r="AP130" s="25">
        <f>IF(Table1[[#This Row],[Years_Next_Rehab_Well]]=4,VLOOKUP(Table1[[#This Row],[Item_Rehab_WL]],[1]!Table2[#All],7,FALSE),0)</f>
        <v>0</v>
      </c>
      <c r="AQ130" s="25">
        <f>IF(Table1[[#This Row],[Adjusted_ULife_HP]]=4,VLOOKUP(Table1[[#This Row],[Item_Handpump]],[1]!Table2[#All],7,FALSE),0)</f>
        <v>0</v>
      </c>
      <c r="AR130" s="25">
        <f>IF(Table1[[#This Row],[Adjusted_ULife_PF]]=4,VLOOKUP(Table1[[#This Row],[Item_Platform]],[1]!Table2[#All],7,FALSE),0)</f>
        <v>0</v>
      </c>
      <c r="AS130" s="25">
        <f>SUM(Table1[[#This Row],[yr 4_wl]:[yr 4_pf]])</f>
        <v>0</v>
      </c>
      <c r="AT130" s="25">
        <f>IF(Table1[[#This Row],[Years_Next_Rehab_Well]]=5,VLOOKUP(Table1[[#This Row],[Item_Rehab_WL]],[1]!Table2[#All],8,FALSE),0)</f>
        <v>0</v>
      </c>
      <c r="AU130" s="25">
        <f>IF(Table1[[#This Row],[Adjusted_ULife_HP]]=5,VLOOKUP(Table1[[#This Row],[Item_Handpump]],[1]!Table2[#All],8,FALSE),0)</f>
        <v>704.93667328000026</v>
      </c>
      <c r="AV130" s="25">
        <f>IF(Table1[[#This Row],[Adjusted_ULife_PF]]=5,VLOOKUP(Table1[[#This Row],[Item_Platform]],[1]!Table2[#All],8,FALSE),0)</f>
        <v>2643.5125248000018</v>
      </c>
      <c r="AW130" s="25">
        <f>SUM(Table1[[#This Row],[yr 5_wl]:[yr 5_pf]])</f>
        <v>3348.4491980800021</v>
      </c>
      <c r="AX130" s="25">
        <f>IF(Table1[[#This Row],[Years_Next_Rehab_Well]]=6,VLOOKUP(Table1[[#This Row],[Item_Rehab_WL]],[1]!Table2[#All],9,FALSE),0)</f>
        <v>0</v>
      </c>
      <c r="AY130" s="25">
        <f>IF(Table1[[#This Row],[Adjusted_ULife_HP]]=6,VLOOKUP(Table1[[#This Row],[Item_Handpump]],[1]!Table2[#All],9,FALSE),0)</f>
        <v>0</v>
      </c>
      <c r="AZ130" s="25">
        <f>IF(Table1[[#This Row],[Adjusted_ULife_PF]]=6,VLOOKUP(Table1[[#This Row],[Item_Platform]],[1]!Table2[#All],9,FALSE),0)</f>
        <v>0</v>
      </c>
      <c r="BA130" s="25">
        <f>SUM(Table1[[#This Row],[yr 6_wl]:[yr 6_pf]])</f>
        <v>0</v>
      </c>
      <c r="BB130" s="25">
        <f>IF(Table1[[#This Row],[Years_Next_Rehab_Well]]=7,VLOOKUP(Table1[[#This Row],[Item_Rehab_WL]],[1]!Table2[#All],10,FALSE),0)</f>
        <v>0</v>
      </c>
      <c r="BC130" s="25">
        <f>IF(Table1[[#This Row],[Adjusted_ULife_HP]]=7,VLOOKUP(Table1[[#This Row],[Item_Handpump]],[1]!Table2[#All],10,FALSE),0)</f>
        <v>0</v>
      </c>
      <c r="BD130" s="25">
        <f>IF(Table1[[#This Row],[Adjusted_ULife_PF]]=7,VLOOKUP(Table1[[#This Row],[Item_Platform]],[1]!Table2[#All],10,FALSE),0)</f>
        <v>0</v>
      </c>
      <c r="BE130" s="25">
        <f>SUM(Table1[[#This Row],[yr 7_wl]:[yr 7_pf]])</f>
        <v>0</v>
      </c>
      <c r="BF130" s="25">
        <f>IF(Table1[[#This Row],[Years_Next_Rehab_Well]]=8,VLOOKUP(Table1[[#This Row],[Item_Rehab_WL]],[1]!Table2[#All],11,FALSE),0)</f>
        <v>0</v>
      </c>
      <c r="BG130" s="25">
        <f>IF(Table1[[#This Row],[Adjusted_ULife_HP]]=8,VLOOKUP(Table1[[#This Row],[Item_Handpump]],[1]!Table2[#All],11,FALSE),0)</f>
        <v>0</v>
      </c>
      <c r="BH130" s="25">
        <f>IF(Table1[[#This Row],[Adjusted_ULife_PF]]=8,VLOOKUP(Table1[[#This Row],[Item_Platform]],[1]!Table2[#All],11,FALSE),0)</f>
        <v>0</v>
      </c>
      <c r="BI130" s="25">
        <f>SUM(Table1[[#This Row],[yr 8_wl]:[yr 8_pf]])</f>
        <v>0</v>
      </c>
      <c r="BJ130" s="25">
        <f>IF(Table1[[#This Row],[Years_Next_Rehab_Well]]=9,VLOOKUP(Table1[[#This Row],[Item_Rehab_WL]],[1]!Table2[#All],12,FALSE),0)</f>
        <v>0</v>
      </c>
      <c r="BK130" s="25">
        <f>IF(Table1[[#This Row],[Adjusted_ULife_HP]]=9,VLOOKUP(Table1[[#This Row],[Item_Handpump]],[1]!Table2[#All],12,FALSE),0)</f>
        <v>0</v>
      </c>
      <c r="BL130" s="25">
        <f>IF(Table1[[#This Row],[Adjusted_ULife_PF]]=9,VLOOKUP(Table1[[#This Row],[Item_Platform]],[1]!Table2[#All],12,FALSE),0)</f>
        <v>0</v>
      </c>
      <c r="BM130" s="25">
        <f>SUM(Table1[[#This Row],[yr 9_wl]:[yr 9_pf]])</f>
        <v>0</v>
      </c>
      <c r="BN130" s="25">
        <f>IF(Table1[[#This Row],[Years_Next_Rehab_Well]]=10,VLOOKUP(Table1[[#This Row],[Item_Rehab_WL]],[1]!Table2[#All],13,FALSE),0)</f>
        <v>11388.110097262112</v>
      </c>
      <c r="BO130" s="25">
        <f>IF(Table1[[#This Row],[Adjusted_ULife_HP]]=10,VLOOKUP(Table1[[#This Row],[Item_Handpump]],[1]!Table2[#All],13,FALSE),0)</f>
        <v>0</v>
      </c>
      <c r="BP130" s="25">
        <f>IF(Table1[[#This Row],[Adjusted_ULife_PF]]=10,VLOOKUP(Table1[[#This Row],[Item_Platform]],[1]!Table2[#All],13,FALSE),0)</f>
        <v>0</v>
      </c>
      <c r="BQ130" s="25">
        <f>SUM(Table1[[#This Row],[yr 10_wl]:[yr 10_pf]])</f>
        <v>11388.110097262112</v>
      </c>
      <c r="BR130" s="25">
        <f>IF(Table1[[#This Row],[Years_Next_Rehab_Well]]=11,VLOOKUP(Table1[[#This Row],[Item_Rehab_WL]],[1]!Table2[#All],14,FALSE),0)</f>
        <v>0</v>
      </c>
      <c r="BS130" s="25">
        <f>IF(Table1[[#This Row],[Adjusted_ULife_HP]]=11,VLOOKUP(Table1[[#This Row],[Item_Handpump]],[1]!Table2[#All],14,FALSE),0)</f>
        <v>0</v>
      </c>
      <c r="BT130" s="25">
        <f>IF(Table1[[#This Row],[Adjusted_ULife_PF]]=11,VLOOKUP(Table1[[#This Row],[Item_Platform]],[1]!Table2[#All],14,FALSE),0)</f>
        <v>0</v>
      </c>
      <c r="BU130" s="25">
        <f>SUM(Table1[[#This Row],[yr 11_wl]:[yr 11_pf]])</f>
        <v>0</v>
      </c>
      <c r="BV130" s="25">
        <f>IF(Table1[[#This Row],[Years_Next_Rehab_Well]]=12,VLOOKUP(Table1[[#This Row],[Item_Rehab_WL]],[1]!Table2[#All],15,FALSE),0)</f>
        <v>0</v>
      </c>
      <c r="BW130" s="25">
        <f>IF(Table1[[#This Row],[Adjusted_ULife_HP]]=12,VLOOKUP(Table1[[#This Row],[Item_Handpump]],[1]!Table2[#All],15,FALSE),0)</f>
        <v>0</v>
      </c>
      <c r="BX130" s="25">
        <f>IF(Table1[[#This Row],[Adjusted_ULife_PF]]=12,VLOOKUP(Table1[[#This Row],[Item_Platform]],[1]!Table2[#All],15,FALSE),0)</f>
        <v>0</v>
      </c>
      <c r="BY130" s="25">
        <f>SUM(Table1[[#This Row],[yr 12_wl]:[yr 12_pf]])</f>
        <v>0</v>
      </c>
      <c r="BZ130" s="25">
        <f>IF(Table1[[#This Row],[Years_Next_Rehab_Well]]=13,VLOOKUP(Table1[[#This Row],[Item_Rehab_WL]],[1]!Table2[#All],16,FALSE),0)</f>
        <v>0</v>
      </c>
      <c r="CA130" s="25">
        <f>IF(Table1[[#This Row],[Adjusted_ULife_HP]]=13,VLOOKUP(Table1[[#This Row],[Item_Handpump]],[1]!Table2[#All],16,FALSE),0)</f>
        <v>0</v>
      </c>
      <c r="CB130" s="25">
        <f>IF(Table1[[#This Row],[Adjusted_ULife_PF]]=13,VLOOKUP(Table1[[#This Row],[Item_Platform]],[1]!Table2[#All],16,FALSE),0)</f>
        <v>0</v>
      </c>
      <c r="CC130" s="25">
        <f>SUM(Table1[[#This Row],[yr 13_wl]:[yr 13_pf]])</f>
        <v>0</v>
      </c>
      <c r="CD130" s="12"/>
    </row>
    <row r="131" spans="1:82" s="11" customFormat="1" x14ac:dyDescent="0.25">
      <c r="A131" s="11" t="str">
        <f>IF([1]Input_monitoring_data!A127="","",[1]Input_monitoring_data!A127)</f>
        <v>phm4-rhh5-253v</v>
      </c>
      <c r="B131" s="22" t="str">
        <f>[1]Input_monitoring_data!BH127</f>
        <v>Goamu</v>
      </c>
      <c r="C131" s="22" t="str">
        <f>[1]Input_monitoring_data!BI127</f>
        <v>Kensere</v>
      </c>
      <c r="D131" s="22" t="str">
        <f>[1]Input_monitoring_data!P127</f>
        <v>6.992802285046338</v>
      </c>
      <c r="E131" s="22" t="str">
        <f>[1]Input_monitoring_data!Q127</f>
        <v>-2.537326221944706</v>
      </c>
      <c r="F131" s="22" t="str">
        <f>[1]Input_monitoring_data!V127</f>
        <v>Close To The Teachers Quarters</v>
      </c>
      <c r="G131" s="23" t="str">
        <f>[1]Input_monitoring_data!U127</f>
        <v>Borehole</v>
      </c>
      <c r="H131" s="22">
        <f>[1]Input_monitoring_data!X127</f>
        <v>2012</v>
      </c>
      <c r="I131" s="21" t="str">
        <f>[1]Input_monitoring_data!AB127</f>
        <v>Borehole redevelopment</v>
      </c>
      <c r="J131" s="21">
        <f>[1]Input_monitoring_data!AC127</f>
        <v>0</v>
      </c>
      <c r="K131" s="23" t="str">
        <f>[1]Input_monitoring_data!W127</f>
        <v>AfriDev</v>
      </c>
      <c r="L131" s="22">
        <f>[1]Input_monitoring_data!X127</f>
        <v>2012</v>
      </c>
      <c r="M131" s="21">
        <f>IF([1]Input_monitoring_data!BL127&gt;'Point Sources_Asset_Register_'!L131,[1]Input_monitoring_data!BL127,"")</f>
        <v>2014</v>
      </c>
      <c r="N131" s="22" t="str">
        <f>[1]Input_monitoring_data!BQ127</f>
        <v>not functional</v>
      </c>
      <c r="O131" s="22">
        <f>[1]Input_monitoring_data!AJ127</f>
        <v>0</v>
      </c>
      <c r="P131" s="23" t="s">
        <v>0</v>
      </c>
      <c r="Q131" s="22">
        <f>L131</f>
        <v>2012</v>
      </c>
      <c r="R131" s="21">
        <f>M131</f>
        <v>2014</v>
      </c>
      <c r="S131" s="20">
        <f>[1]Input_EUL_CRC_ERC!$B$17-Table1[[#This Row],[Year Installed_WL]]</f>
        <v>5</v>
      </c>
      <c r="T131" s="20">
        <f>[1]Input_EUL_CRC_ERC!$B$17-(IF(Table1[[#This Row],[Year Last_Rehab_WL ]]=0,Table1[[#This Row],[Year Installed_WL]],[1]Input_EUL_CRC_ERC!$B$17-Table1[[#This Row],[Year Last_Rehab_WL ]]))</f>
        <v>5</v>
      </c>
      <c r="U131" s="20">
        <f>(VLOOKUP(Table1[[#This Row],[Item_Rehab_WL]],[1]Input_EUL_CRC_ERC!$C$17:$E$27,2,FALSE)-Table1[[#This Row],[Last Rehab Age]])</f>
        <v>10</v>
      </c>
      <c r="V131" s="19">
        <f>[1]Input_EUL_CRC_ERC!$B$17-Table1[[#This Row],[Year Installed_HP]]</f>
        <v>5</v>
      </c>
      <c r="W131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31" s="19">
        <f>[1]Input_EUL_CRC_ERC!$B$17-Table1[[#This Row],[Year Installed_PF]]</f>
        <v>5</v>
      </c>
      <c r="Y131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31" s="25">
        <f>IF(Table1[[#This Row],[Years_Next_Rehab_Well]]&lt;=0,VLOOKUP(Table1[[#This Row],[Item_Rehab_WL]],[1]!Table2[#All],3,FALSE),0)</f>
        <v>0</v>
      </c>
      <c r="AA131" s="18">
        <f>IF(Table1[[#This Row],[Adjusted_ULife_HP]]&lt;=0,VLOOKUP(Table1[[#This Row],[Item_Handpump]],[1]!Table2[#All],3,FALSE),0)</f>
        <v>0</v>
      </c>
      <c r="AB131" s="18">
        <f>IF(Table1[[#This Row],[Adjusted_ULife_PF]]&lt;=0,VLOOKUP(Table1[[#This Row],[Item_Platform]],[1]!Table2[#All],3,FALSE),0)</f>
        <v>0</v>
      </c>
      <c r="AC131" s="18">
        <f>SUM(Table1[[#This Row],[current yr_wl]:[current yr_pf]])</f>
        <v>0</v>
      </c>
      <c r="AD131" s="25">
        <f>IF(Table1[[#This Row],[Years_Next_Rehab_Well]]=1,VLOOKUP(Table1[[#This Row],[Item_Rehab_WL]],[1]!Table2[#All],4,FALSE),0)</f>
        <v>0</v>
      </c>
      <c r="AE131" s="25">
        <f>IF(Table1[[#This Row],[Adjusted_ULife_HP]]=1,VLOOKUP(Table1[[#This Row],[Item_Handpump]],[1]!Table2[#All],4,FALSE),0)</f>
        <v>0</v>
      </c>
      <c r="AF131" s="25">
        <f>IF(Table1[[#This Row],[Adjusted_ULife_PF]]=1,VLOOKUP(Table1[[#This Row],[Item_Platform]],[1]!Table2[#All],4,FALSE),0)</f>
        <v>0</v>
      </c>
      <c r="AG131" s="25">
        <f>SUM(Table1[[#This Row],[yr 1_wl]:[yr 1_pf]])</f>
        <v>0</v>
      </c>
      <c r="AH131" s="25">
        <f>IF(Table1[[#This Row],[Years_Next_Rehab_Well]]=2,VLOOKUP(Table1[[#This Row],[Item_Rehab_WL]],[1]!Table2[#All],5,FALSE),0)</f>
        <v>0</v>
      </c>
      <c r="AI131" s="25">
        <f>IF(Table1[[#This Row],[Adjusted_ULife_HP]]=2,VLOOKUP(Table1[[#This Row],[Item_Handpump]],[1]!Table2[#All],5,FALSE),0)</f>
        <v>0</v>
      </c>
      <c r="AJ131" s="25">
        <f>IF(Table1[[#This Row],[Adjusted_ULife_PF]]=2,VLOOKUP(Table1[[#This Row],[Item_Platform]],[1]!Table2[#All],5,FALSE),0)</f>
        <v>0</v>
      </c>
      <c r="AK131" s="25">
        <f>SUM(Table1[[#This Row],[yr 2_wl]:[yr 2_pf]])</f>
        <v>0</v>
      </c>
      <c r="AL131" s="25">
        <f>IF(Table1[[#This Row],[Years_Next_Rehab_Well]]=3,VLOOKUP(Table1[[#This Row],[Item_Rehab_WL]],[1]!Table2[#All],6,FALSE),0)</f>
        <v>0</v>
      </c>
      <c r="AM131" s="25">
        <f>IF(Table1[[#This Row],[Adjusted_ULife_HP]]=3,VLOOKUP(Table1[[#This Row],[Item_Handpump]],[1]!Table2[#All],6,FALSE),0)</f>
        <v>0</v>
      </c>
      <c r="AN131" s="25">
        <f>IF(Table1[[#This Row],[Adjusted_ULife_PF]]=3,VLOOKUP(Table1[[#This Row],[Item_Platform]],[1]!Table2[#All],6,FALSE),0)</f>
        <v>0</v>
      </c>
      <c r="AO131" s="25">
        <f>SUM(Table1[[#This Row],[yr 3_wl]:[yr 3_pf]])</f>
        <v>0</v>
      </c>
      <c r="AP131" s="25">
        <f>IF(Table1[[#This Row],[Years_Next_Rehab_Well]]=4,VLOOKUP(Table1[[#This Row],[Item_Rehab_WL]],[1]!Table2[#All],7,FALSE),0)</f>
        <v>0</v>
      </c>
      <c r="AQ131" s="25">
        <f>IF(Table1[[#This Row],[Adjusted_ULife_HP]]=4,VLOOKUP(Table1[[#This Row],[Item_Handpump]],[1]!Table2[#All],7,FALSE),0)</f>
        <v>0</v>
      </c>
      <c r="AR131" s="25">
        <f>IF(Table1[[#This Row],[Adjusted_ULife_PF]]=4,VLOOKUP(Table1[[#This Row],[Item_Platform]],[1]!Table2[#All],7,FALSE),0)</f>
        <v>0</v>
      </c>
      <c r="AS131" s="25">
        <f>SUM(Table1[[#This Row],[yr 4_wl]:[yr 4_pf]])</f>
        <v>0</v>
      </c>
      <c r="AT131" s="25">
        <f>IF(Table1[[#This Row],[Years_Next_Rehab_Well]]=5,VLOOKUP(Table1[[#This Row],[Item_Rehab_WL]],[1]!Table2[#All],8,FALSE),0)</f>
        <v>0</v>
      </c>
      <c r="AU131" s="25">
        <f>IF(Table1[[#This Row],[Adjusted_ULife_HP]]=5,VLOOKUP(Table1[[#This Row],[Item_Handpump]],[1]!Table2[#All],8,FALSE),0)</f>
        <v>0</v>
      </c>
      <c r="AV131" s="25">
        <f>IF(Table1[[#This Row],[Adjusted_ULife_PF]]=5,VLOOKUP(Table1[[#This Row],[Item_Platform]],[1]!Table2[#All],8,FALSE),0)</f>
        <v>0</v>
      </c>
      <c r="AW131" s="25">
        <f>SUM(Table1[[#This Row],[yr 5_wl]:[yr 5_pf]])</f>
        <v>0</v>
      </c>
      <c r="AX131" s="25">
        <f>IF(Table1[[#This Row],[Years_Next_Rehab_Well]]=6,VLOOKUP(Table1[[#This Row],[Item_Rehab_WL]],[1]!Table2[#All],9,FALSE),0)</f>
        <v>0</v>
      </c>
      <c r="AY131" s="25">
        <f>IF(Table1[[#This Row],[Adjusted_ULife_HP]]=6,VLOOKUP(Table1[[#This Row],[Item_Handpump]],[1]!Table2[#All],9,FALSE),0)</f>
        <v>0</v>
      </c>
      <c r="AZ131" s="25">
        <f>IF(Table1[[#This Row],[Adjusted_ULife_PF]]=6,VLOOKUP(Table1[[#This Row],[Item_Platform]],[1]!Table2[#All],9,FALSE),0)</f>
        <v>0</v>
      </c>
      <c r="BA131" s="25">
        <f>SUM(Table1[[#This Row],[yr 6_wl]:[yr 6_pf]])</f>
        <v>0</v>
      </c>
      <c r="BB131" s="25">
        <f>IF(Table1[[#This Row],[Years_Next_Rehab_Well]]=7,VLOOKUP(Table1[[#This Row],[Item_Rehab_WL]],[1]!Table2[#All],10,FALSE),0)</f>
        <v>0</v>
      </c>
      <c r="BC131" s="25">
        <f>IF(Table1[[#This Row],[Adjusted_ULife_HP]]=7,VLOOKUP(Table1[[#This Row],[Item_Handpump]],[1]!Table2[#All],10,FALSE),0)</f>
        <v>0</v>
      </c>
      <c r="BD131" s="25">
        <f>IF(Table1[[#This Row],[Adjusted_ULife_PF]]=7,VLOOKUP(Table1[[#This Row],[Item_Platform]],[1]!Table2[#All],10,FALSE),0)</f>
        <v>3316.0221111091228</v>
      </c>
      <c r="BE131" s="25">
        <f>SUM(Table1[[#This Row],[yr 7_wl]:[yr 7_pf]])</f>
        <v>3316.0221111091228</v>
      </c>
      <c r="BF131" s="25">
        <f>IF(Table1[[#This Row],[Years_Next_Rehab_Well]]=8,VLOOKUP(Table1[[#This Row],[Item_Rehab_WL]],[1]!Table2[#All],11,FALSE),0)</f>
        <v>0</v>
      </c>
      <c r="BG131" s="25">
        <f>IF(Table1[[#This Row],[Adjusted_ULife_HP]]=8,VLOOKUP(Table1[[#This Row],[Item_Handpump]],[1]!Table2[#All],11,FALSE),0)</f>
        <v>0</v>
      </c>
      <c r="BH131" s="25">
        <f>IF(Table1[[#This Row],[Adjusted_ULife_PF]]=8,VLOOKUP(Table1[[#This Row],[Item_Platform]],[1]!Table2[#All],11,FALSE),0)</f>
        <v>0</v>
      </c>
      <c r="BI131" s="25">
        <f>SUM(Table1[[#This Row],[yr 8_wl]:[yr 8_pf]])</f>
        <v>0</v>
      </c>
      <c r="BJ131" s="25">
        <f>IF(Table1[[#This Row],[Years_Next_Rehab_Well]]=9,VLOOKUP(Table1[[#This Row],[Item_Rehab_WL]],[1]!Table2[#All],12,FALSE),0)</f>
        <v>0</v>
      </c>
      <c r="BK131" s="25">
        <f>IF(Table1[[#This Row],[Adjusted_ULife_HP]]=9,VLOOKUP(Table1[[#This Row],[Item_Handpump]],[1]!Table2[#All],12,FALSE),0)</f>
        <v>0</v>
      </c>
      <c r="BL131" s="25">
        <f>IF(Table1[[#This Row],[Adjusted_ULife_PF]]=9,VLOOKUP(Table1[[#This Row],[Item_Platform]],[1]!Table2[#All],12,FALSE),0)</f>
        <v>0</v>
      </c>
      <c r="BM131" s="25">
        <f>SUM(Table1[[#This Row],[yr 9_wl]:[yr 9_pf]])</f>
        <v>0</v>
      </c>
      <c r="BN131" s="25">
        <f>IF(Table1[[#This Row],[Years_Next_Rehab_Well]]=10,VLOOKUP(Table1[[#This Row],[Item_Rehab_WL]],[1]!Table2[#All],13,FALSE),0)</f>
        <v>11388.110097262112</v>
      </c>
      <c r="BO131" s="25">
        <f>IF(Table1[[#This Row],[Adjusted_ULife_HP]]=10,VLOOKUP(Table1[[#This Row],[Item_Handpump]],[1]!Table2[#All],13,FALSE),0)</f>
        <v>0</v>
      </c>
      <c r="BP131" s="25">
        <f>IF(Table1[[#This Row],[Adjusted_ULife_PF]]=10,VLOOKUP(Table1[[#This Row],[Item_Platform]],[1]!Table2[#All],13,FALSE),0)</f>
        <v>0</v>
      </c>
      <c r="BQ131" s="25">
        <f>SUM(Table1[[#This Row],[yr 10_wl]:[yr 10_pf]])</f>
        <v>11388.110097262112</v>
      </c>
      <c r="BR131" s="25">
        <f>IF(Table1[[#This Row],[Years_Next_Rehab_Well]]=11,VLOOKUP(Table1[[#This Row],[Item_Rehab_WL]],[1]!Table2[#All],14,FALSE),0)</f>
        <v>0</v>
      </c>
      <c r="BS131" s="25">
        <f>IF(Table1[[#This Row],[Adjusted_ULife_HP]]=11,VLOOKUP(Table1[[#This Row],[Item_Handpump]],[1]!Table2[#All],14,FALSE),0)</f>
        <v>0</v>
      </c>
      <c r="BT131" s="25">
        <f>IF(Table1[[#This Row],[Adjusted_ULife_PF]]=11,VLOOKUP(Table1[[#This Row],[Item_Platform]],[1]!Table2[#All],14,FALSE),0)</f>
        <v>0</v>
      </c>
      <c r="BU131" s="25">
        <f>SUM(Table1[[#This Row],[yr 11_wl]:[yr 11_pf]])</f>
        <v>0</v>
      </c>
      <c r="BV131" s="25">
        <f>IF(Table1[[#This Row],[Years_Next_Rehab_Well]]=12,VLOOKUP(Table1[[#This Row],[Item_Rehab_WL]],[1]!Table2[#All],15,FALSE),0)</f>
        <v>0</v>
      </c>
      <c r="BW131" s="25">
        <f>IF(Table1[[#This Row],[Adjusted_ULife_HP]]=12,VLOOKUP(Table1[[#This Row],[Item_Handpump]],[1]!Table2[#All],15,FALSE),0)</f>
        <v>0</v>
      </c>
      <c r="BX131" s="25">
        <f>IF(Table1[[#This Row],[Adjusted_ULife_PF]]=12,VLOOKUP(Table1[[#This Row],[Item_Platform]],[1]!Table2[#All],15,FALSE),0)</f>
        <v>0</v>
      </c>
      <c r="BY131" s="25">
        <f>SUM(Table1[[#This Row],[yr 12_wl]:[yr 12_pf]])</f>
        <v>0</v>
      </c>
      <c r="BZ131" s="25">
        <f>IF(Table1[[#This Row],[Years_Next_Rehab_Well]]=13,VLOOKUP(Table1[[#This Row],[Item_Rehab_WL]],[1]!Table2[#All],16,FALSE),0)</f>
        <v>0</v>
      </c>
      <c r="CA131" s="25">
        <f>IF(Table1[[#This Row],[Adjusted_ULife_HP]]=13,VLOOKUP(Table1[[#This Row],[Item_Handpump]],[1]!Table2[#All],16,FALSE),0)</f>
        <v>0</v>
      </c>
      <c r="CB131" s="25">
        <f>IF(Table1[[#This Row],[Adjusted_ULife_PF]]=13,VLOOKUP(Table1[[#This Row],[Item_Platform]],[1]!Table2[#All],16,FALSE),0)</f>
        <v>0</v>
      </c>
      <c r="CC131" s="25">
        <f>SUM(Table1[[#This Row],[yr 13_wl]:[yr 13_pf]])</f>
        <v>0</v>
      </c>
      <c r="CD131" s="12"/>
    </row>
    <row r="132" spans="1:82" s="11" customFormat="1" x14ac:dyDescent="0.25">
      <c r="A132" s="11" t="str">
        <f>IF([1]Input_monitoring_data!A128="","",[1]Input_monitoring_data!A128)</f>
        <v>q6ba-xage-6959</v>
      </c>
      <c r="B132" s="22" t="str">
        <f>[1]Input_monitoring_data!BH128</f>
        <v>Goamu</v>
      </c>
      <c r="C132" s="22" t="str">
        <f>[1]Input_monitoring_data!BI128</f>
        <v>Goamu Asamang</v>
      </c>
      <c r="D132" s="22" t="str">
        <f>[1]Input_monitoring_data!P128</f>
        <v>7.067789495053231</v>
      </c>
      <c r="E132" s="22" t="str">
        <f>[1]Input_monitoring_data!Q128</f>
        <v>-2.4929096819697096</v>
      </c>
      <c r="F132" s="22" t="str">
        <f>[1]Input_monitoring_data!V128</f>
        <v>Along Goamo Koforidua Road</v>
      </c>
      <c r="G132" s="23" t="str">
        <f>[1]Input_monitoring_data!U128</f>
        <v>Borehole</v>
      </c>
      <c r="H132" s="22">
        <f>[1]Input_monitoring_data!X128</f>
        <v>1987</v>
      </c>
      <c r="I132" s="21" t="str">
        <f>[1]Input_monitoring_data!AB128</f>
        <v>Borehole redevelopment</v>
      </c>
      <c r="J132" s="21">
        <f>[1]Input_monitoring_data!AC128</f>
        <v>0</v>
      </c>
      <c r="K132" s="23" t="str">
        <f>[1]Input_monitoring_data!W128</f>
        <v>Ghana modified India Mark II</v>
      </c>
      <c r="L132" s="22">
        <f>[1]Input_monitoring_data!X128</f>
        <v>1987</v>
      </c>
      <c r="M132" s="21">
        <f>IF([1]Input_monitoring_data!BL128&gt;'Point Sources_Asset_Register_'!L132,[1]Input_monitoring_data!BL128,"")</f>
        <v>2013</v>
      </c>
      <c r="N132" s="22" t="str">
        <f>[1]Input_monitoring_data!BQ128</f>
        <v>partially functional</v>
      </c>
      <c r="O132" s="22">
        <f>[1]Input_monitoring_data!AJ128</f>
        <v>0</v>
      </c>
      <c r="P132" s="23" t="s">
        <v>0</v>
      </c>
      <c r="Q132" s="22">
        <f>L132</f>
        <v>1987</v>
      </c>
      <c r="R132" s="21">
        <f>M132</f>
        <v>2013</v>
      </c>
      <c r="S132" s="20">
        <f>[1]Input_EUL_CRC_ERC!$B$17-Table1[[#This Row],[Year Installed_WL]]</f>
        <v>30</v>
      </c>
      <c r="T132" s="20">
        <f>[1]Input_EUL_CRC_ERC!$B$17-(IF(Table1[[#This Row],[Year Last_Rehab_WL ]]=0,Table1[[#This Row],[Year Installed_WL]],[1]Input_EUL_CRC_ERC!$B$17-Table1[[#This Row],[Year Last_Rehab_WL ]]))</f>
        <v>30</v>
      </c>
      <c r="U132" s="20">
        <f>(VLOOKUP(Table1[[#This Row],[Item_Rehab_WL]],[1]Input_EUL_CRC_ERC!$C$17:$E$27,2,FALSE)-Table1[[#This Row],[Last Rehab Age]])</f>
        <v>-15</v>
      </c>
      <c r="V132" s="19">
        <f>[1]Input_EUL_CRC_ERC!$B$17-Table1[[#This Row],[Year Installed_HP]]</f>
        <v>30</v>
      </c>
      <c r="W132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132" s="19">
        <f>[1]Input_EUL_CRC_ERC!$B$17-Table1[[#This Row],[Year Installed_PF]]</f>
        <v>30</v>
      </c>
      <c r="Y132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32" s="25">
        <f>IF(Table1[[#This Row],[Years_Next_Rehab_Well]]&lt;=0,VLOOKUP(Table1[[#This Row],[Item_Rehab_WL]],[1]!Table2[#All],3,FALSE),0)</f>
        <v>3666.6666666666665</v>
      </c>
      <c r="AA132" s="18">
        <f>IF(Table1[[#This Row],[Adjusted_ULife_HP]]&lt;=0,VLOOKUP(Table1[[#This Row],[Item_Handpump]],[1]!Table2[#All],3,FALSE),0)</f>
        <v>0</v>
      </c>
      <c r="AB132" s="18">
        <f>IF(Table1[[#This Row],[Adjusted_ULife_PF]]&lt;=0,VLOOKUP(Table1[[#This Row],[Item_Platform]],[1]!Table2[#All],3,FALSE),0)</f>
        <v>0</v>
      </c>
      <c r="AC132" s="18">
        <f>SUM(Table1[[#This Row],[current yr_wl]:[current yr_pf]])</f>
        <v>3666.6666666666665</v>
      </c>
      <c r="AD132" s="25">
        <f>IF(Table1[[#This Row],[Years_Next_Rehab_Well]]=1,VLOOKUP(Table1[[#This Row],[Item_Rehab_WL]],[1]!Table2[#All],4,FALSE),0)</f>
        <v>0</v>
      </c>
      <c r="AE132" s="25">
        <f>IF(Table1[[#This Row],[Adjusted_ULife_HP]]=1,VLOOKUP(Table1[[#This Row],[Item_Handpump]],[1]!Table2[#All],4,FALSE),0)</f>
        <v>0</v>
      </c>
      <c r="AF132" s="25">
        <f>IF(Table1[[#This Row],[Adjusted_ULife_PF]]=1,VLOOKUP(Table1[[#This Row],[Item_Platform]],[1]!Table2[#All],4,FALSE),0)</f>
        <v>0</v>
      </c>
      <c r="AG132" s="25">
        <f>SUM(Table1[[#This Row],[yr 1_wl]:[yr 1_pf]])</f>
        <v>0</v>
      </c>
      <c r="AH132" s="25">
        <f>IF(Table1[[#This Row],[Years_Next_Rehab_Well]]=2,VLOOKUP(Table1[[#This Row],[Item_Rehab_WL]],[1]!Table2[#All],5,FALSE),0)</f>
        <v>0</v>
      </c>
      <c r="AI132" s="25">
        <f>IF(Table1[[#This Row],[Adjusted_ULife_HP]]=2,VLOOKUP(Table1[[#This Row],[Item_Handpump]],[1]!Table2[#All],5,FALSE),0)</f>
        <v>0</v>
      </c>
      <c r="AJ132" s="25">
        <f>IF(Table1[[#This Row],[Adjusted_ULife_PF]]=2,VLOOKUP(Table1[[#This Row],[Item_Platform]],[1]!Table2[#All],5,FALSE),0)</f>
        <v>0</v>
      </c>
      <c r="AK132" s="25">
        <f>SUM(Table1[[#This Row],[yr 2_wl]:[yr 2_pf]])</f>
        <v>0</v>
      </c>
      <c r="AL132" s="25">
        <f>IF(Table1[[#This Row],[Years_Next_Rehab_Well]]=3,VLOOKUP(Table1[[#This Row],[Item_Rehab_WL]],[1]!Table2[#All],6,FALSE),0)</f>
        <v>0</v>
      </c>
      <c r="AM132" s="25">
        <f>IF(Table1[[#This Row],[Adjusted_ULife_HP]]=3,VLOOKUP(Table1[[#This Row],[Item_Handpump]],[1]!Table2[#All],6,FALSE),0)</f>
        <v>0</v>
      </c>
      <c r="AN132" s="25">
        <f>IF(Table1[[#This Row],[Adjusted_ULife_PF]]=3,VLOOKUP(Table1[[#This Row],[Item_Platform]],[1]!Table2[#All],6,FALSE),0)</f>
        <v>0</v>
      </c>
      <c r="AO132" s="25">
        <f>SUM(Table1[[#This Row],[yr 3_wl]:[yr 3_pf]])</f>
        <v>0</v>
      </c>
      <c r="AP132" s="25">
        <f>IF(Table1[[#This Row],[Years_Next_Rehab_Well]]=4,VLOOKUP(Table1[[#This Row],[Item_Rehab_WL]],[1]!Table2[#All],7,FALSE),0)</f>
        <v>0</v>
      </c>
      <c r="AQ132" s="25">
        <f>IF(Table1[[#This Row],[Adjusted_ULife_HP]]=4,VLOOKUP(Table1[[#This Row],[Item_Handpump]],[1]!Table2[#All],7,FALSE),0)</f>
        <v>0</v>
      </c>
      <c r="AR132" s="25">
        <f>IF(Table1[[#This Row],[Adjusted_ULife_PF]]=4,VLOOKUP(Table1[[#This Row],[Item_Platform]],[1]!Table2[#All],7,FALSE),0)</f>
        <v>0</v>
      </c>
      <c r="AS132" s="25">
        <f>SUM(Table1[[#This Row],[yr 4_wl]:[yr 4_pf]])</f>
        <v>0</v>
      </c>
      <c r="AT132" s="25">
        <f>IF(Table1[[#This Row],[Years_Next_Rehab_Well]]=5,VLOOKUP(Table1[[#This Row],[Item_Rehab_WL]],[1]!Table2[#All],8,FALSE),0)</f>
        <v>0</v>
      </c>
      <c r="AU132" s="25">
        <f>IF(Table1[[#This Row],[Adjusted_ULife_HP]]=5,VLOOKUP(Table1[[#This Row],[Item_Handpump]],[1]!Table2[#All],8,FALSE),0)</f>
        <v>0</v>
      </c>
      <c r="AV132" s="25">
        <f>IF(Table1[[#This Row],[Adjusted_ULife_PF]]=5,VLOOKUP(Table1[[#This Row],[Item_Platform]],[1]!Table2[#All],8,FALSE),0)</f>
        <v>0</v>
      </c>
      <c r="AW132" s="25">
        <f>SUM(Table1[[#This Row],[yr 5_wl]:[yr 5_pf]])</f>
        <v>0</v>
      </c>
      <c r="AX132" s="25">
        <f>IF(Table1[[#This Row],[Years_Next_Rehab_Well]]=6,VLOOKUP(Table1[[#This Row],[Item_Rehab_WL]],[1]!Table2[#All],9,FALSE),0)</f>
        <v>0</v>
      </c>
      <c r="AY132" s="25">
        <f>IF(Table1[[#This Row],[Adjusted_ULife_HP]]=6,VLOOKUP(Table1[[#This Row],[Item_Handpump]],[1]!Table2[#All],9,FALSE),0)</f>
        <v>0</v>
      </c>
      <c r="AZ132" s="25">
        <f>IF(Table1[[#This Row],[Adjusted_ULife_PF]]=6,VLOOKUP(Table1[[#This Row],[Item_Platform]],[1]!Table2[#All],9,FALSE),0)</f>
        <v>2960.7340277760022</v>
      </c>
      <c r="BA132" s="25">
        <f>SUM(Table1[[#This Row],[yr 6_wl]:[yr 6_pf]])</f>
        <v>2960.7340277760022</v>
      </c>
      <c r="BB132" s="25">
        <f>IF(Table1[[#This Row],[Years_Next_Rehab_Well]]=7,VLOOKUP(Table1[[#This Row],[Item_Rehab_WL]],[1]!Table2[#All],10,FALSE),0)</f>
        <v>0</v>
      </c>
      <c r="BC132" s="25">
        <f>IF(Table1[[#This Row],[Adjusted_ULife_HP]]=7,VLOOKUP(Table1[[#This Row],[Item_Handpump]],[1]!Table2[#All],10,FALSE),0)</f>
        <v>0</v>
      </c>
      <c r="BD132" s="25">
        <f>IF(Table1[[#This Row],[Adjusted_ULife_PF]]=7,VLOOKUP(Table1[[#This Row],[Item_Platform]],[1]!Table2[#All],10,FALSE),0)</f>
        <v>0</v>
      </c>
      <c r="BE132" s="25">
        <f>SUM(Table1[[#This Row],[yr 7_wl]:[yr 7_pf]])</f>
        <v>0</v>
      </c>
      <c r="BF132" s="25">
        <f>IF(Table1[[#This Row],[Years_Next_Rehab_Well]]=8,VLOOKUP(Table1[[#This Row],[Item_Rehab_WL]],[1]!Table2[#All],11,FALSE),0)</f>
        <v>0</v>
      </c>
      <c r="BG132" s="25">
        <f>IF(Table1[[#This Row],[Adjusted_ULife_HP]]=8,VLOOKUP(Table1[[#This Row],[Item_Handpump]],[1]!Table2[#All],11,FALSE),0)</f>
        <v>0</v>
      </c>
      <c r="BH132" s="25">
        <f>IF(Table1[[#This Row],[Adjusted_ULife_PF]]=8,VLOOKUP(Table1[[#This Row],[Item_Platform]],[1]!Table2[#All],11,FALSE),0)</f>
        <v>0</v>
      </c>
      <c r="BI132" s="25">
        <f>SUM(Table1[[#This Row],[yr 8_wl]:[yr 8_pf]])</f>
        <v>0</v>
      </c>
      <c r="BJ132" s="25">
        <f>IF(Table1[[#This Row],[Years_Next_Rehab_Well]]=9,VLOOKUP(Table1[[#This Row],[Item_Rehab_WL]],[1]!Table2[#All],12,FALSE),0)</f>
        <v>0</v>
      </c>
      <c r="BK132" s="25">
        <f>IF(Table1[[#This Row],[Adjusted_ULife_HP]]=9,VLOOKUP(Table1[[#This Row],[Item_Handpump]],[1]!Table2[#All],12,FALSE),0)</f>
        <v>0</v>
      </c>
      <c r="BL132" s="25">
        <f>IF(Table1[[#This Row],[Adjusted_ULife_PF]]=9,VLOOKUP(Table1[[#This Row],[Item_Platform]],[1]!Table2[#All],12,FALSE),0)</f>
        <v>0</v>
      </c>
      <c r="BM132" s="25">
        <f>SUM(Table1[[#This Row],[yr 9_wl]:[yr 9_pf]])</f>
        <v>0</v>
      </c>
      <c r="BN132" s="25">
        <f>IF(Table1[[#This Row],[Years_Next_Rehab_Well]]=10,VLOOKUP(Table1[[#This Row],[Item_Rehab_WL]],[1]!Table2[#All],13,FALSE),0)</f>
        <v>0</v>
      </c>
      <c r="BO132" s="25">
        <f>IF(Table1[[#This Row],[Adjusted_ULife_HP]]=10,VLOOKUP(Table1[[#This Row],[Item_Handpump]],[1]!Table2[#All],13,FALSE),0)</f>
        <v>0</v>
      </c>
      <c r="BP132" s="25">
        <f>IF(Table1[[#This Row],[Adjusted_ULife_PF]]=10,VLOOKUP(Table1[[#This Row],[Item_Platform]],[1]!Table2[#All],13,FALSE),0)</f>
        <v>0</v>
      </c>
      <c r="BQ132" s="25">
        <f>SUM(Table1[[#This Row],[yr 10_wl]:[yr 10_pf]])</f>
        <v>0</v>
      </c>
      <c r="BR132" s="25">
        <f>IF(Table1[[#This Row],[Years_Next_Rehab_Well]]=11,VLOOKUP(Table1[[#This Row],[Item_Rehab_WL]],[1]!Table2[#All],14,FALSE),0)</f>
        <v>0</v>
      </c>
      <c r="BS132" s="25">
        <f>IF(Table1[[#This Row],[Adjusted_ULife_HP]]=11,VLOOKUP(Table1[[#This Row],[Item_Handpump]],[1]!Table2[#All],14,FALSE),0)</f>
        <v>0</v>
      </c>
      <c r="BT132" s="25">
        <f>IF(Table1[[#This Row],[Adjusted_ULife_PF]]=11,VLOOKUP(Table1[[#This Row],[Item_Platform]],[1]!Table2[#All],14,FALSE),0)</f>
        <v>0</v>
      </c>
      <c r="BU132" s="25">
        <f>SUM(Table1[[#This Row],[yr 11_wl]:[yr 11_pf]])</f>
        <v>0</v>
      </c>
      <c r="BV132" s="25">
        <f>IF(Table1[[#This Row],[Years_Next_Rehab_Well]]=12,VLOOKUP(Table1[[#This Row],[Item_Rehab_WL]],[1]!Table2[#All],15,FALSE),0)</f>
        <v>0</v>
      </c>
      <c r="BW132" s="25">
        <f>IF(Table1[[#This Row],[Adjusted_ULife_HP]]=12,VLOOKUP(Table1[[#This Row],[Item_Handpump]],[1]!Table2[#All],15,FALSE),0)</f>
        <v>0</v>
      </c>
      <c r="BX132" s="25">
        <f>IF(Table1[[#This Row],[Adjusted_ULife_PF]]=12,VLOOKUP(Table1[[#This Row],[Item_Platform]],[1]!Table2[#All],15,FALSE),0)</f>
        <v>0</v>
      </c>
      <c r="BY132" s="25">
        <f>SUM(Table1[[#This Row],[yr 12_wl]:[yr 12_pf]])</f>
        <v>0</v>
      </c>
      <c r="BZ132" s="25">
        <f>IF(Table1[[#This Row],[Years_Next_Rehab_Well]]=13,VLOOKUP(Table1[[#This Row],[Item_Rehab_WL]],[1]!Table2[#All],16,FALSE),0)</f>
        <v>0</v>
      </c>
      <c r="CA132" s="25">
        <f>IF(Table1[[#This Row],[Adjusted_ULife_HP]]=13,VLOOKUP(Table1[[#This Row],[Item_Handpump]],[1]!Table2[#All],16,FALSE),0)</f>
        <v>0</v>
      </c>
      <c r="CB132" s="25">
        <f>IF(Table1[[#This Row],[Adjusted_ULife_PF]]=13,VLOOKUP(Table1[[#This Row],[Item_Platform]],[1]!Table2[#All],16,FALSE),0)</f>
        <v>0</v>
      </c>
      <c r="CC132" s="25">
        <f>SUM(Table1[[#This Row],[yr 13_wl]:[yr 13_pf]])</f>
        <v>0</v>
      </c>
      <c r="CD132" s="12"/>
    </row>
    <row r="133" spans="1:82" s="11" customFormat="1" x14ac:dyDescent="0.25">
      <c r="A133" s="11" t="str">
        <f>IF([1]Input_monitoring_data!A129="","",[1]Input_monitoring_data!A129)</f>
        <v>q6jw-ye22-6w6</v>
      </c>
      <c r="B133" s="22" t="str">
        <f>[1]Input_monitoring_data!BH129</f>
        <v>Goamu</v>
      </c>
      <c r="C133" s="22" t="str">
        <f>[1]Input_monitoring_data!BI129</f>
        <v>Ama Agyemangkrom</v>
      </c>
      <c r="D133" s="22" t="str">
        <f>[1]Input_monitoring_data!P129</f>
        <v>6.997206363725315</v>
      </c>
      <c r="E133" s="22" t="str">
        <f>[1]Input_monitoring_data!Q129</f>
        <v>-2.453130494674459</v>
      </c>
      <c r="F133" s="22" t="str">
        <f>[1]Input_monitoring_data!V129</f>
        <v>Few Meters After The Park</v>
      </c>
      <c r="G133" s="23" t="str">
        <f>[1]Input_monitoring_data!U129</f>
        <v>Hand dug well</v>
      </c>
      <c r="H133" s="22">
        <f>[1]Input_monitoring_data!X129</f>
        <v>1998</v>
      </c>
      <c r="I133" s="21" t="str">
        <f>[1]Input_monitoring_data!AB129</f>
        <v>Borehole redevelopment</v>
      </c>
      <c r="J133" s="21">
        <f>[1]Input_monitoring_data!AC129</f>
        <v>0</v>
      </c>
      <c r="K133" s="23" t="str">
        <f>[1]Input_monitoring_data!W129</f>
        <v>Nira AF-85</v>
      </c>
      <c r="L133" s="22">
        <f>[1]Input_monitoring_data!X129</f>
        <v>1998</v>
      </c>
      <c r="M133" s="21">
        <f>IF([1]Input_monitoring_data!BL129&gt;'Point Sources_Asset_Register_'!L133,[1]Input_monitoring_data!BL129,"")</f>
        <v>2016</v>
      </c>
      <c r="N133" s="22" t="str">
        <f>[1]Input_monitoring_data!BQ129</f>
        <v>partially functional</v>
      </c>
      <c r="O133" s="22">
        <f>[1]Input_monitoring_data!AJ129</f>
        <v>0</v>
      </c>
      <c r="P133" s="23" t="s">
        <v>0</v>
      </c>
      <c r="Q133" s="22">
        <f>L133</f>
        <v>1998</v>
      </c>
      <c r="R133" s="21">
        <f>M133</f>
        <v>2016</v>
      </c>
      <c r="S133" s="20">
        <f>[1]Input_EUL_CRC_ERC!$B$17-Table1[[#This Row],[Year Installed_WL]]</f>
        <v>19</v>
      </c>
      <c r="T133" s="20">
        <f>[1]Input_EUL_CRC_ERC!$B$17-(IF(Table1[[#This Row],[Year Last_Rehab_WL ]]=0,Table1[[#This Row],[Year Installed_WL]],[1]Input_EUL_CRC_ERC!$B$17-Table1[[#This Row],[Year Last_Rehab_WL ]]))</f>
        <v>19</v>
      </c>
      <c r="U133" s="20">
        <f>(VLOOKUP(Table1[[#This Row],[Item_Rehab_WL]],[1]Input_EUL_CRC_ERC!$C$17:$E$27,2,FALSE)-Table1[[#This Row],[Last Rehab Age]])</f>
        <v>-4</v>
      </c>
      <c r="V133" s="19">
        <f>[1]Input_EUL_CRC_ERC!$B$17-Table1[[#This Row],[Year Installed_HP]]</f>
        <v>19</v>
      </c>
      <c r="W133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33" s="19">
        <f>[1]Input_EUL_CRC_ERC!$B$17-Table1[[#This Row],[Year Installed_PF]]</f>
        <v>19</v>
      </c>
      <c r="Y133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33" s="25">
        <f>IF(Table1[[#This Row],[Years_Next_Rehab_Well]]&lt;=0,VLOOKUP(Table1[[#This Row],[Item_Rehab_WL]],[1]!Table2[#All],3,FALSE),0)</f>
        <v>3666.6666666666665</v>
      </c>
      <c r="AA133" s="18">
        <f>IF(Table1[[#This Row],[Adjusted_ULife_HP]]&lt;=0,VLOOKUP(Table1[[#This Row],[Item_Handpump]],[1]!Table2[#All],3,FALSE),0)</f>
        <v>0</v>
      </c>
      <c r="AB133" s="18">
        <f>IF(Table1[[#This Row],[Adjusted_ULife_PF]]&lt;=0,VLOOKUP(Table1[[#This Row],[Item_Platform]],[1]!Table2[#All],3,FALSE),0)</f>
        <v>0</v>
      </c>
      <c r="AC133" s="18">
        <f>SUM(Table1[[#This Row],[current yr_wl]:[current yr_pf]])</f>
        <v>3666.6666666666665</v>
      </c>
      <c r="AD133" s="25">
        <f>IF(Table1[[#This Row],[Years_Next_Rehab_Well]]=1,VLOOKUP(Table1[[#This Row],[Item_Rehab_WL]],[1]!Table2[#All],4,FALSE),0)</f>
        <v>0</v>
      </c>
      <c r="AE133" s="25">
        <f>IF(Table1[[#This Row],[Adjusted_ULife_HP]]=1,VLOOKUP(Table1[[#This Row],[Item_Handpump]],[1]!Table2[#All],4,FALSE),0)</f>
        <v>0</v>
      </c>
      <c r="AF133" s="25">
        <f>IF(Table1[[#This Row],[Adjusted_ULife_PF]]=1,VLOOKUP(Table1[[#This Row],[Item_Platform]],[1]!Table2[#All],4,FALSE),0)</f>
        <v>0</v>
      </c>
      <c r="AG133" s="25">
        <f>SUM(Table1[[#This Row],[yr 1_wl]:[yr 1_pf]])</f>
        <v>0</v>
      </c>
      <c r="AH133" s="25">
        <f>IF(Table1[[#This Row],[Years_Next_Rehab_Well]]=2,VLOOKUP(Table1[[#This Row],[Item_Rehab_WL]],[1]!Table2[#All],5,FALSE),0)</f>
        <v>0</v>
      </c>
      <c r="AI133" s="25">
        <f>IF(Table1[[#This Row],[Adjusted_ULife_HP]]=2,VLOOKUP(Table1[[#This Row],[Item_Handpump]],[1]!Table2[#All],5,FALSE),0)</f>
        <v>0</v>
      </c>
      <c r="AJ133" s="25">
        <f>IF(Table1[[#This Row],[Adjusted_ULife_PF]]=2,VLOOKUP(Table1[[#This Row],[Item_Platform]],[1]!Table2[#All],5,FALSE),0)</f>
        <v>0</v>
      </c>
      <c r="AK133" s="25">
        <f>SUM(Table1[[#This Row],[yr 2_wl]:[yr 2_pf]])</f>
        <v>0</v>
      </c>
      <c r="AL133" s="25">
        <f>IF(Table1[[#This Row],[Years_Next_Rehab_Well]]=3,VLOOKUP(Table1[[#This Row],[Item_Rehab_WL]],[1]!Table2[#All],6,FALSE),0)</f>
        <v>0</v>
      </c>
      <c r="AM133" s="25">
        <f>IF(Table1[[#This Row],[Adjusted_ULife_HP]]=3,VLOOKUP(Table1[[#This Row],[Item_Handpump]],[1]!Table2[#All],6,FALSE),0)</f>
        <v>0</v>
      </c>
      <c r="AN133" s="25">
        <f>IF(Table1[[#This Row],[Adjusted_ULife_PF]]=3,VLOOKUP(Table1[[#This Row],[Item_Platform]],[1]!Table2[#All],6,FALSE),0)</f>
        <v>0</v>
      </c>
      <c r="AO133" s="25">
        <f>SUM(Table1[[#This Row],[yr 3_wl]:[yr 3_pf]])</f>
        <v>0</v>
      </c>
      <c r="AP133" s="25">
        <f>IF(Table1[[#This Row],[Years_Next_Rehab_Well]]=4,VLOOKUP(Table1[[#This Row],[Item_Rehab_WL]],[1]!Table2[#All],7,FALSE),0)</f>
        <v>0</v>
      </c>
      <c r="AQ133" s="25">
        <f>IF(Table1[[#This Row],[Adjusted_ULife_HP]]=4,VLOOKUP(Table1[[#This Row],[Item_Handpump]],[1]!Table2[#All],7,FALSE),0)</f>
        <v>0</v>
      </c>
      <c r="AR133" s="25">
        <f>IF(Table1[[#This Row],[Adjusted_ULife_PF]]=4,VLOOKUP(Table1[[#This Row],[Item_Platform]],[1]!Table2[#All],7,FALSE),0)</f>
        <v>0</v>
      </c>
      <c r="AS133" s="25">
        <f>SUM(Table1[[#This Row],[yr 4_wl]:[yr 4_pf]])</f>
        <v>0</v>
      </c>
      <c r="AT133" s="25">
        <f>IF(Table1[[#This Row],[Years_Next_Rehab_Well]]=5,VLOOKUP(Table1[[#This Row],[Item_Rehab_WL]],[1]!Table2[#All],8,FALSE),0)</f>
        <v>0</v>
      </c>
      <c r="AU133" s="25">
        <f>IF(Table1[[#This Row],[Adjusted_ULife_HP]]=5,VLOOKUP(Table1[[#This Row],[Item_Handpump]],[1]!Table2[#All],8,FALSE),0)</f>
        <v>0</v>
      </c>
      <c r="AV133" s="25">
        <f>IF(Table1[[#This Row],[Adjusted_ULife_PF]]=5,VLOOKUP(Table1[[#This Row],[Item_Platform]],[1]!Table2[#All],8,FALSE),0)</f>
        <v>0</v>
      </c>
      <c r="AW133" s="25">
        <f>SUM(Table1[[#This Row],[yr 5_wl]:[yr 5_pf]])</f>
        <v>0</v>
      </c>
      <c r="AX133" s="25">
        <f>IF(Table1[[#This Row],[Years_Next_Rehab_Well]]=6,VLOOKUP(Table1[[#This Row],[Item_Rehab_WL]],[1]!Table2[#All],9,FALSE),0)</f>
        <v>0</v>
      </c>
      <c r="AY133" s="25">
        <f>IF(Table1[[#This Row],[Adjusted_ULife_HP]]=6,VLOOKUP(Table1[[#This Row],[Item_Handpump]],[1]!Table2[#All],9,FALSE),0)</f>
        <v>0</v>
      </c>
      <c r="AZ133" s="25">
        <f>IF(Table1[[#This Row],[Adjusted_ULife_PF]]=6,VLOOKUP(Table1[[#This Row],[Item_Platform]],[1]!Table2[#All],9,FALSE),0)</f>
        <v>0</v>
      </c>
      <c r="BA133" s="25">
        <f>SUM(Table1[[#This Row],[yr 6_wl]:[yr 6_pf]])</f>
        <v>0</v>
      </c>
      <c r="BB133" s="25">
        <f>IF(Table1[[#This Row],[Years_Next_Rehab_Well]]=7,VLOOKUP(Table1[[#This Row],[Item_Rehab_WL]],[1]!Table2[#All],10,FALSE),0)</f>
        <v>0</v>
      </c>
      <c r="BC133" s="25">
        <f>IF(Table1[[#This Row],[Adjusted_ULife_HP]]=7,VLOOKUP(Table1[[#This Row],[Item_Handpump]],[1]!Table2[#All],10,FALSE),0)</f>
        <v>0</v>
      </c>
      <c r="BD133" s="25">
        <f>IF(Table1[[#This Row],[Adjusted_ULife_PF]]=7,VLOOKUP(Table1[[#This Row],[Item_Platform]],[1]!Table2[#All],10,FALSE),0)</f>
        <v>0</v>
      </c>
      <c r="BE133" s="25">
        <f>SUM(Table1[[#This Row],[yr 7_wl]:[yr 7_pf]])</f>
        <v>0</v>
      </c>
      <c r="BF133" s="25">
        <f>IF(Table1[[#This Row],[Years_Next_Rehab_Well]]=8,VLOOKUP(Table1[[#This Row],[Item_Rehab_WL]],[1]!Table2[#All],11,FALSE),0)</f>
        <v>0</v>
      </c>
      <c r="BG133" s="25">
        <f>IF(Table1[[#This Row],[Adjusted_ULife_HP]]=8,VLOOKUP(Table1[[#This Row],[Item_Handpump]],[1]!Table2[#All],11,FALSE),0)</f>
        <v>0</v>
      </c>
      <c r="BH133" s="25">
        <f>IF(Table1[[#This Row],[Adjusted_ULife_PF]]=8,VLOOKUP(Table1[[#This Row],[Item_Platform]],[1]!Table2[#All],11,FALSE),0)</f>
        <v>0</v>
      </c>
      <c r="BI133" s="25">
        <f>SUM(Table1[[#This Row],[yr 8_wl]:[yr 8_pf]])</f>
        <v>0</v>
      </c>
      <c r="BJ133" s="25">
        <f>IF(Table1[[#This Row],[Years_Next_Rehab_Well]]=9,VLOOKUP(Table1[[#This Row],[Item_Rehab_WL]],[1]!Table2[#All],12,FALSE),0)</f>
        <v>0</v>
      </c>
      <c r="BK133" s="25">
        <f>IF(Table1[[#This Row],[Adjusted_ULife_HP]]=9,VLOOKUP(Table1[[#This Row],[Item_Handpump]],[1]!Table2[#All],12,FALSE),0)</f>
        <v>0</v>
      </c>
      <c r="BL133" s="25">
        <f>IF(Table1[[#This Row],[Adjusted_ULife_PF]]=9,VLOOKUP(Table1[[#This Row],[Item_Platform]],[1]!Table2[#All],12,FALSE),0)</f>
        <v>4159.6181361752842</v>
      </c>
      <c r="BM133" s="25">
        <f>SUM(Table1[[#This Row],[yr 9_wl]:[yr 9_pf]])</f>
        <v>4159.6181361752842</v>
      </c>
      <c r="BN133" s="25">
        <f>IF(Table1[[#This Row],[Years_Next_Rehab_Well]]=10,VLOOKUP(Table1[[#This Row],[Item_Rehab_WL]],[1]!Table2[#All],13,FALSE),0)</f>
        <v>0</v>
      </c>
      <c r="BO133" s="25">
        <f>IF(Table1[[#This Row],[Adjusted_ULife_HP]]=10,VLOOKUP(Table1[[#This Row],[Item_Handpump]],[1]!Table2[#All],13,FALSE),0)</f>
        <v>0</v>
      </c>
      <c r="BP133" s="25">
        <f>IF(Table1[[#This Row],[Adjusted_ULife_PF]]=10,VLOOKUP(Table1[[#This Row],[Item_Platform]],[1]!Table2[#All],13,FALSE),0)</f>
        <v>0</v>
      </c>
      <c r="BQ133" s="25">
        <f>SUM(Table1[[#This Row],[yr 10_wl]:[yr 10_pf]])</f>
        <v>0</v>
      </c>
      <c r="BR133" s="25">
        <f>IF(Table1[[#This Row],[Years_Next_Rehab_Well]]=11,VLOOKUP(Table1[[#This Row],[Item_Rehab_WL]],[1]!Table2[#All],14,FALSE),0)</f>
        <v>0</v>
      </c>
      <c r="BS133" s="25">
        <f>IF(Table1[[#This Row],[Adjusted_ULife_HP]]=11,VLOOKUP(Table1[[#This Row],[Item_Handpump]],[1]!Table2[#All],14,FALSE),0)</f>
        <v>0</v>
      </c>
      <c r="BT133" s="25">
        <f>IF(Table1[[#This Row],[Adjusted_ULife_PF]]=11,VLOOKUP(Table1[[#This Row],[Item_Platform]],[1]!Table2[#All],14,FALSE),0)</f>
        <v>0</v>
      </c>
      <c r="BU133" s="25">
        <f>SUM(Table1[[#This Row],[yr 11_wl]:[yr 11_pf]])</f>
        <v>0</v>
      </c>
      <c r="BV133" s="25">
        <f>IF(Table1[[#This Row],[Years_Next_Rehab_Well]]=12,VLOOKUP(Table1[[#This Row],[Item_Rehab_WL]],[1]!Table2[#All],15,FALSE),0)</f>
        <v>0</v>
      </c>
      <c r="BW133" s="25">
        <f>IF(Table1[[#This Row],[Adjusted_ULife_HP]]=12,VLOOKUP(Table1[[#This Row],[Item_Handpump]],[1]!Table2[#All],15,FALSE),0)</f>
        <v>0</v>
      </c>
      <c r="BX133" s="25">
        <f>IF(Table1[[#This Row],[Adjusted_ULife_PF]]=12,VLOOKUP(Table1[[#This Row],[Item_Platform]],[1]!Table2[#All],15,FALSE),0)</f>
        <v>0</v>
      </c>
      <c r="BY133" s="25">
        <f>SUM(Table1[[#This Row],[yr 12_wl]:[yr 12_pf]])</f>
        <v>0</v>
      </c>
      <c r="BZ133" s="25">
        <f>IF(Table1[[#This Row],[Years_Next_Rehab_Well]]=13,VLOOKUP(Table1[[#This Row],[Item_Rehab_WL]],[1]!Table2[#All],16,FALSE),0)</f>
        <v>0</v>
      </c>
      <c r="CA133" s="25">
        <f>IF(Table1[[#This Row],[Adjusted_ULife_HP]]=13,VLOOKUP(Table1[[#This Row],[Item_Handpump]],[1]!Table2[#All],16,FALSE),0)</f>
        <v>0</v>
      </c>
      <c r="CB133" s="25">
        <f>IF(Table1[[#This Row],[Adjusted_ULife_PF]]=13,VLOOKUP(Table1[[#This Row],[Item_Platform]],[1]!Table2[#All],16,FALSE),0)</f>
        <v>0</v>
      </c>
      <c r="CC133" s="25">
        <f>SUM(Table1[[#This Row],[yr 13_wl]:[yr 13_pf]])</f>
        <v>0</v>
      </c>
      <c r="CD133" s="12"/>
    </row>
    <row r="134" spans="1:82" s="11" customFormat="1" x14ac:dyDescent="0.25">
      <c r="A134" s="11" t="str">
        <f>IF([1]Input_monitoring_data!A130="","",[1]Input_monitoring_data!A130)</f>
        <v>qa5c-27v6-b0jq</v>
      </c>
      <c r="B134" s="22" t="str">
        <f>[1]Input_monitoring_data!BH130</f>
        <v>Gambia</v>
      </c>
      <c r="C134" s="22" t="str">
        <f>[1]Input_monitoring_data!BI130</f>
        <v>Gambia No.1</v>
      </c>
      <c r="D134" s="22" t="str">
        <f>[1]Input_monitoring_data!P130</f>
        <v>7.03965914977915</v>
      </c>
      <c r="E134" s="22" t="str">
        <f>[1]Input_monitoring_data!Q130</f>
        <v>-2.640399496652286</v>
      </c>
      <c r="F134" s="22" t="str">
        <f>[1]Input_monitoring_data!V130</f>
        <v>Nana Sarfo's Coaco Farm</v>
      </c>
      <c r="G134" s="23" t="str">
        <f>[1]Input_monitoring_data!U130</f>
        <v>Borehole</v>
      </c>
      <c r="H134" s="22">
        <f>[1]Input_monitoring_data!X130</f>
        <v>1986</v>
      </c>
      <c r="I134" s="21" t="str">
        <f>[1]Input_monitoring_data!AB130</f>
        <v>Borehole redevelopment</v>
      </c>
      <c r="J134" s="21">
        <f>[1]Input_monitoring_data!AC130</f>
        <v>0</v>
      </c>
      <c r="K134" s="23" t="str">
        <f>[1]Input_monitoring_data!W130</f>
        <v>Ghana modified India Mark II</v>
      </c>
      <c r="L134" s="22">
        <f>[1]Input_monitoring_data!X130</f>
        <v>1986</v>
      </c>
      <c r="M134" s="21">
        <f>IF([1]Input_monitoring_data!BL130&gt;'Point Sources_Asset_Register_'!L134,[1]Input_monitoring_data!BL130,"")</f>
        <v>2013</v>
      </c>
      <c r="N134" s="22" t="str">
        <f>[1]Input_monitoring_data!BQ130</f>
        <v>not functional</v>
      </c>
      <c r="O134" s="22">
        <f>[1]Input_monitoring_data!AJ130</f>
        <v>0</v>
      </c>
      <c r="P134" s="23" t="s">
        <v>0</v>
      </c>
      <c r="Q134" s="22">
        <f>L134</f>
        <v>1986</v>
      </c>
      <c r="R134" s="21">
        <f>M134</f>
        <v>2013</v>
      </c>
      <c r="S134" s="20">
        <f>[1]Input_EUL_CRC_ERC!$B$17-Table1[[#This Row],[Year Installed_WL]]</f>
        <v>31</v>
      </c>
      <c r="T134" s="20">
        <f>[1]Input_EUL_CRC_ERC!$B$17-(IF(Table1[[#This Row],[Year Last_Rehab_WL ]]=0,Table1[[#This Row],[Year Installed_WL]],[1]Input_EUL_CRC_ERC!$B$17-Table1[[#This Row],[Year Last_Rehab_WL ]]))</f>
        <v>31</v>
      </c>
      <c r="U134" s="20">
        <f>(VLOOKUP(Table1[[#This Row],[Item_Rehab_WL]],[1]Input_EUL_CRC_ERC!$C$17:$E$27,2,FALSE)-Table1[[#This Row],[Last Rehab Age]])</f>
        <v>-16</v>
      </c>
      <c r="V134" s="19">
        <f>[1]Input_EUL_CRC_ERC!$B$17-Table1[[#This Row],[Year Installed_HP]]</f>
        <v>31</v>
      </c>
      <c r="W134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134" s="19">
        <f>[1]Input_EUL_CRC_ERC!$B$17-Table1[[#This Row],[Year Installed_PF]]</f>
        <v>31</v>
      </c>
      <c r="Y134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34" s="25">
        <f>IF(Table1[[#This Row],[Years_Next_Rehab_Well]]&lt;=0,VLOOKUP(Table1[[#This Row],[Item_Rehab_WL]],[1]!Table2[#All],3,FALSE),0)</f>
        <v>3666.6666666666665</v>
      </c>
      <c r="AA134" s="18">
        <f>IF(Table1[[#This Row],[Adjusted_ULife_HP]]&lt;=0,VLOOKUP(Table1[[#This Row],[Item_Handpump]],[1]!Table2[#All],3,FALSE),0)</f>
        <v>0</v>
      </c>
      <c r="AB134" s="18">
        <f>IF(Table1[[#This Row],[Adjusted_ULife_PF]]&lt;=0,VLOOKUP(Table1[[#This Row],[Item_Platform]],[1]!Table2[#All],3,FALSE),0)</f>
        <v>0</v>
      </c>
      <c r="AC134" s="18">
        <f>SUM(Table1[[#This Row],[current yr_wl]:[current yr_pf]])</f>
        <v>3666.6666666666665</v>
      </c>
      <c r="AD134" s="25">
        <f>IF(Table1[[#This Row],[Years_Next_Rehab_Well]]=1,VLOOKUP(Table1[[#This Row],[Item_Rehab_WL]],[1]!Table2[#All],4,FALSE),0)</f>
        <v>0</v>
      </c>
      <c r="AE134" s="25">
        <f>IF(Table1[[#This Row],[Adjusted_ULife_HP]]=1,VLOOKUP(Table1[[#This Row],[Item_Handpump]],[1]!Table2[#All],4,FALSE),0)</f>
        <v>0</v>
      </c>
      <c r="AF134" s="25">
        <f>IF(Table1[[#This Row],[Adjusted_ULife_PF]]=1,VLOOKUP(Table1[[#This Row],[Item_Platform]],[1]!Table2[#All],4,FALSE),0)</f>
        <v>0</v>
      </c>
      <c r="AG134" s="25">
        <f>SUM(Table1[[#This Row],[yr 1_wl]:[yr 1_pf]])</f>
        <v>0</v>
      </c>
      <c r="AH134" s="25">
        <f>IF(Table1[[#This Row],[Years_Next_Rehab_Well]]=2,VLOOKUP(Table1[[#This Row],[Item_Rehab_WL]],[1]!Table2[#All],5,FALSE),0)</f>
        <v>0</v>
      </c>
      <c r="AI134" s="25">
        <f>IF(Table1[[#This Row],[Adjusted_ULife_HP]]=2,VLOOKUP(Table1[[#This Row],[Item_Handpump]],[1]!Table2[#All],5,FALSE),0)</f>
        <v>0</v>
      </c>
      <c r="AJ134" s="25">
        <f>IF(Table1[[#This Row],[Adjusted_ULife_PF]]=2,VLOOKUP(Table1[[#This Row],[Item_Platform]],[1]!Table2[#All],5,FALSE),0)</f>
        <v>0</v>
      </c>
      <c r="AK134" s="25">
        <f>SUM(Table1[[#This Row],[yr 2_wl]:[yr 2_pf]])</f>
        <v>0</v>
      </c>
      <c r="AL134" s="25">
        <f>IF(Table1[[#This Row],[Years_Next_Rehab_Well]]=3,VLOOKUP(Table1[[#This Row],[Item_Rehab_WL]],[1]!Table2[#All],6,FALSE),0)</f>
        <v>0</v>
      </c>
      <c r="AM134" s="25">
        <f>IF(Table1[[#This Row],[Adjusted_ULife_HP]]=3,VLOOKUP(Table1[[#This Row],[Item_Handpump]],[1]!Table2[#All],6,FALSE),0)</f>
        <v>0</v>
      </c>
      <c r="AN134" s="25">
        <f>IF(Table1[[#This Row],[Adjusted_ULife_PF]]=3,VLOOKUP(Table1[[#This Row],[Item_Platform]],[1]!Table2[#All],6,FALSE),0)</f>
        <v>0</v>
      </c>
      <c r="AO134" s="25">
        <f>SUM(Table1[[#This Row],[yr 3_wl]:[yr 3_pf]])</f>
        <v>0</v>
      </c>
      <c r="AP134" s="25">
        <f>IF(Table1[[#This Row],[Years_Next_Rehab_Well]]=4,VLOOKUP(Table1[[#This Row],[Item_Rehab_WL]],[1]!Table2[#All],7,FALSE),0)</f>
        <v>0</v>
      </c>
      <c r="AQ134" s="25">
        <f>IF(Table1[[#This Row],[Adjusted_ULife_HP]]=4,VLOOKUP(Table1[[#This Row],[Item_Handpump]],[1]!Table2[#All],7,FALSE),0)</f>
        <v>0</v>
      </c>
      <c r="AR134" s="25">
        <f>IF(Table1[[#This Row],[Adjusted_ULife_PF]]=4,VLOOKUP(Table1[[#This Row],[Item_Platform]],[1]!Table2[#All],7,FALSE),0)</f>
        <v>0</v>
      </c>
      <c r="AS134" s="25">
        <f>SUM(Table1[[#This Row],[yr 4_wl]:[yr 4_pf]])</f>
        <v>0</v>
      </c>
      <c r="AT134" s="25">
        <f>IF(Table1[[#This Row],[Years_Next_Rehab_Well]]=5,VLOOKUP(Table1[[#This Row],[Item_Rehab_WL]],[1]!Table2[#All],8,FALSE),0)</f>
        <v>0</v>
      </c>
      <c r="AU134" s="25">
        <f>IF(Table1[[#This Row],[Adjusted_ULife_HP]]=5,VLOOKUP(Table1[[#This Row],[Item_Handpump]],[1]!Table2[#All],8,FALSE),0)</f>
        <v>0</v>
      </c>
      <c r="AV134" s="25">
        <f>IF(Table1[[#This Row],[Adjusted_ULife_PF]]=5,VLOOKUP(Table1[[#This Row],[Item_Platform]],[1]!Table2[#All],8,FALSE),0)</f>
        <v>0</v>
      </c>
      <c r="AW134" s="25">
        <f>SUM(Table1[[#This Row],[yr 5_wl]:[yr 5_pf]])</f>
        <v>0</v>
      </c>
      <c r="AX134" s="25">
        <f>IF(Table1[[#This Row],[Years_Next_Rehab_Well]]=6,VLOOKUP(Table1[[#This Row],[Item_Rehab_WL]],[1]!Table2[#All],9,FALSE),0)</f>
        <v>0</v>
      </c>
      <c r="AY134" s="25">
        <f>IF(Table1[[#This Row],[Adjusted_ULife_HP]]=6,VLOOKUP(Table1[[#This Row],[Item_Handpump]],[1]!Table2[#All],9,FALSE),0)</f>
        <v>0</v>
      </c>
      <c r="AZ134" s="25">
        <f>IF(Table1[[#This Row],[Adjusted_ULife_PF]]=6,VLOOKUP(Table1[[#This Row],[Item_Platform]],[1]!Table2[#All],9,FALSE),0)</f>
        <v>2960.7340277760022</v>
      </c>
      <c r="BA134" s="25">
        <f>SUM(Table1[[#This Row],[yr 6_wl]:[yr 6_pf]])</f>
        <v>2960.7340277760022</v>
      </c>
      <c r="BB134" s="25">
        <f>IF(Table1[[#This Row],[Years_Next_Rehab_Well]]=7,VLOOKUP(Table1[[#This Row],[Item_Rehab_WL]],[1]!Table2[#All],10,FALSE),0)</f>
        <v>0</v>
      </c>
      <c r="BC134" s="25">
        <f>IF(Table1[[#This Row],[Adjusted_ULife_HP]]=7,VLOOKUP(Table1[[#This Row],[Item_Handpump]],[1]!Table2[#All],10,FALSE),0)</f>
        <v>0</v>
      </c>
      <c r="BD134" s="25">
        <f>IF(Table1[[#This Row],[Adjusted_ULife_PF]]=7,VLOOKUP(Table1[[#This Row],[Item_Platform]],[1]!Table2[#All],10,FALSE),0)</f>
        <v>0</v>
      </c>
      <c r="BE134" s="25">
        <f>SUM(Table1[[#This Row],[yr 7_wl]:[yr 7_pf]])</f>
        <v>0</v>
      </c>
      <c r="BF134" s="25">
        <f>IF(Table1[[#This Row],[Years_Next_Rehab_Well]]=8,VLOOKUP(Table1[[#This Row],[Item_Rehab_WL]],[1]!Table2[#All],11,FALSE),0)</f>
        <v>0</v>
      </c>
      <c r="BG134" s="25">
        <f>IF(Table1[[#This Row],[Adjusted_ULife_HP]]=8,VLOOKUP(Table1[[#This Row],[Item_Handpump]],[1]!Table2[#All],11,FALSE),0)</f>
        <v>0</v>
      </c>
      <c r="BH134" s="25">
        <f>IF(Table1[[#This Row],[Adjusted_ULife_PF]]=8,VLOOKUP(Table1[[#This Row],[Item_Platform]],[1]!Table2[#All],11,FALSE),0)</f>
        <v>0</v>
      </c>
      <c r="BI134" s="25">
        <f>SUM(Table1[[#This Row],[yr 8_wl]:[yr 8_pf]])</f>
        <v>0</v>
      </c>
      <c r="BJ134" s="25">
        <f>IF(Table1[[#This Row],[Years_Next_Rehab_Well]]=9,VLOOKUP(Table1[[#This Row],[Item_Rehab_WL]],[1]!Table2[#All],12,FALSE),0)</f>
        <v>0</v>
      </c>
      <c r="BK134" s="25">
        <f>IF(Table1[[#This Row],[Adjusted_ULife_HP]]=9,VLOOKUP(Table1[[#This Row],[Item_Handpump]],[1]!Table2[#All],12,FALSE),0)</f>
        <v>0</v>
      </c>
      <c r="BL134" s="25">
        <f>IF(Table1[[#This Row],[Adjusted_ULife_PF]]=9,VLOOKUP(Table1[[#This Row],[Item_Platform]],[1]!Table2[#All],12,FALSE),0)</f>
        <v>0</v>
      </c>
      <c r="BM134" s="25">
        <f>SUM(Table1[[#This Row],[yr 9_wl]:[yr 9_pf]])</f>
        <v>0</v>
      </c>
      <c r="BN134" s="25">
        <f>IF(Table1[[#This Row],[Years_Next_Rehab_Well]]=10,VLOOKUP(Table1[[#This Row],[Item_Rehab_WL]],[1]!Table2[#All],13,FALSE),0)</f>
        <v>0</v>
      </c>
      <c r="BO134" s="25">
        <f>IF(Table1[[#This Row],[Adjusted_ULife_HP]]=10,VLOOKUP(Table1[[#This Row],[Item_Handpump]],[1]!Table2[#All],13,FALSE),0)</f>
        <v>0</v>
      </c>
      <c r="BP134" s="25">
        <f>IF(Table1[[#This Row],[Adjusted_ULife_PF]]=10,VLOOKUP(Table1[[#This Row],[Item_Platform]],[1]!Table2[#All],13,FALSE),0)</f>
        <v>0</v>
      </c>
      <c r="BQ134" s="25">
        <f>SUM(Table1[[#This Row],[yr 10_wl]:[yr 10_pf]])</f>
        <v>0</v>
      </c>
      <c r="BR134" s="25">
        <f>IF(Table1[[#This Row],[Years_Next_Rehab_Well]]=11,VLOOKUP(Table1[[#This Row],[Item_Rehab_WL]],[1]!Table2[#All],14,FALSE),0)</f>
        <v>0</v>
      </c>
      <c r="BS134" s="25">
        <f>IF(Table1[[#This Row],[Adjusted_ULife_HP]]=11,VLOOKUP(Table1[[#This Row],[Item_Handpump]],[1]!Table2[#All],14,FALSE),0)</f>
        <v>0</v>
      </c>
      <c r="BT134" s="25">
        <f>IF(Table1[[#This Row],[Adjusted_ULife_PF]]=11,VLOOKUP(Table1[[#This Row],[Item_Platform]],[1]!Table2[#All],14,FALSE),0)</f>
        <v>0</v>
      </c>
      <c r="BU134" s="25">
        <f>SUM(Table1[[#This Row],[yr 11_wl]:[yr 11_pf]])</f>
        <v>0</v>
      </c>
      <c r="BV134" s="25">
        <f>IF(Table1[[#This Row],[Years_Next_Rehab_Well]]=12,VLOOKUP(Table1[[#This Row],[Item_Rehab_WL]],[1]!Table2[#All],15,FALSE),0)</f>
        <v>0</v>
      </c>
      <c r="BW134" s="25">
        <f>IF(Table1[[#This Row],[Adjusted_ULife_HP]]=12,VLOOKUP(Table1[[#This Row],[Item_Handpump]],[1]!Table2[#All],15,FALSE),0)</f>
        <v>0</v>
      </c>
      <c r="BX134" s="25">
        <f>IF(Table1[[#This Row],[Adjusted_ULife_PF]]=12,VLOOKUP(Table1[[#This Row],[Item_Platform]],[1]!Table2[#All],15,FALSE),0)</f>
        <v>0</v>
      </c>
      <c r="BY134" s="25">
        <f>SUM(Table1[[#This Row],[yr 12_wl]:[yr 12_pf]])</f>
        <v>0</v>
      </c>
      <c r="BZ134" s="25">
        <f>IF(Table1[[#This Row],[Years_Next_Rehab_Well]]=13,VLOOKUP(Table1[[#This Row],[Item_Rehab_WL]],[1]!Table2[#All],16,FALSE),0)</f>
        <v>0</v>
      </c>
      <c r="CA134" s="25">
        <f>IF(Table1[[#This Row],[Adjusted_ULife_HP]]=13,VLOOKUP(Table1[[#This Row],[Item_Handpump]],[1]!Table2[#All],16,FALSE),0)</f>
        <v>0</v>
      </c>
      <c r="CB134" s="25">
        <f>IF(Table1[[#This Row],[Adjusted_ULife_PF]]=13,VLOOKUP(Table1[[#This Row],[Item_Platform]],[1]!Table2[#All],16,FALSE),0)</f>
        <v>0</v>
      </c>
      <c r="CC134" s="25">
        <f>SUM(Table1[[#This Row],[yr 13_wl]:[yr 13_pf]])</f>
        <v>0</v>
      </c>
      <c r="CD134" s="12"/>
    </row>
    <row r="135" spans="1:82" s="11" customFormat="1" x14ac:dyDescent="0.25">
      <c r="A135" s="11" t="str">
        <f>IF([1]Input_monitoring_data!A131="","",[1]Input_monitoring_data!A131)</f>
        <v>qkbb-jeah-sak7</v>
      </c>
      <c r="B135" s="22" t="str">
        <f>[1]Input_monitoring_data!BH131</f>
        <v>Goamu</v>
      </c>
      <c r="C135" s="22" t="str">
        <f>[1]Input_monitoring_data!BI131</f>
        <v>Senwe</v>
      </c>
      <c r="D135" s="22" t="str">
        <f>[1]Input_monitoring_data!P131</f>
        <v>7.083272434115498</v>
      </c>
      <c r="E135" s="22" t="str">
        <f>[1]Input_monitoring_data!Q131</f>
        <v>-2.4164515308689345</v>
      </c>
      <c r="F135" s="22" t="str">
        <f>[1]Input_monitoring_data!V131</f>
        <v>Mamae Tawias Cocoa Farm</v>
      </c>
      <c r="G135" s="23" t="str">
        <f>[1]Input_monitoring_data!U131</f>
        <v>Borehole</v>
      </c>
      <c r="H135" s="22">
        <f>[1]Input_monitoring_data!X131</f>
        <v>2008</v>
      </c>
      <c r="I135" s="21" t="str">
        <f>[1]Input_monitoring_data!AB131</f>
        <v>Borehole redevelopment</v>
      </c>
      <c r="J135" s="21">
        <f>[1]Input_monitoring_data!AC131</f>
        <v>0</v>
      </c>
      <c r="K135" s="23" t="str">
        <f>[1]Input_monitoring_data!W131</f>
        <v>AfriDev</v>
      </c>
      <c r="L135" s="22">
        <f>[1]Input_monitoring_data!X131</f>
        <v>2008</v>
      </c>
      <c r="M135" s="21">
        <f>IF([1]Input_monitoring_data!BL131&gt;'Point Sources_Asset_Register_'!L135,[1]Input_monitoring_data!BL131,"")</f>
        <v>2015</v>
      </c>
      <c r="N135" s="22" t="str">
        <f>[1]Input_monitoring_data!BQ131</f>
        <v>functional</v>
      </c>
      <c r="O135" s="22">
        <f>[1]Input_monitoring_data!AJ131</f>
        <v>0</v>
      </c>
      <c r="P135" s="23" t="s">
        <v>0</v>
      </c>
      <c r="Q135" s="22">
        <f>L135</f>
        <v>2008</v>
      </c>
      <c r="R135" s="21">
        <f>M135</f>
        <v>2015</v>
      </c>
      <c r="S135" s="20">
        <f>[1]Input_EUL_CRC_ERC!$B$17-Table1[[#This Row],[Year Installed_WL]]</f>
        <v>9</v>
      </c>
      <c r="T135" s="20">
        <f>[1]Input_EUL_CRC_ERC!$B$17-(IF(Table1[[#This Row],[Year Last_Rehab_WL ]]=0,Table1[[#This Row],[Year Installed_WL]],[1]Input_EUL_CRC_ERC!$B$17-Table1[[#This Row],[Year Last_Rehab_WL ]]))</f>
        <v>9</v>
      </c>
      <c r="U135" s="20">
        <f>(VLOOKUP(Table1[[#This Row],[Item_Rehab_WL]],[1]Input_EUL_CRC_ERC!$C$17:$E$27,2,FALSE)-Table1[[#This Row],[Last Rehab Age]])</f>
        <v>6</v>
      </c>
      <c r="V135" s="19">
        <f>[1]Input_EUL_CRC_ERC!$B$17-Table1[[#This Row],[Year Installed_HP]]</f>
        <v>9</v>
      </c>
      <c r="W135" s="19">
        <f>(VLOOKUP(Table1[[#This Row],[Item_Handpump]],[1]!Table2[#All],2,FALSE))-(IF(Table1[[#This Row],[Year Last_Rehab_HP]]="",Table1[[#This Row],[Current Age_Handpump]],[1]Input_EUL_CRC_ERC!$B$17-Table1[[#This Row],[Year Last_Rehab_HP]]))</f>
        <v>18</v>
      </c>
      <c r="X135" s="19">
        <f>[1]Input_EUL_CRC_ERC!$B$17-Table1[[#This Row],[Year Installed_PF]]</f>
        <v>9</v>
      </c>
      <c r="Y135" s="19">
        <f>(VLOOKUP(Table1[[#This Row],[Item_Platform]],[1]!Table2[#All],2,FALSE))-(IF(Table1[[#This Row],[Year Last_Rehab_PF]]="",Table1[[#This Row],[Current Age_Platform]],[1]Input_EUL_CRC_ERC!$B$17-Table1[[#This Row],[Year Last_Rehab_PF]]))</f>
        <v>8</v>
      </c>
      <c r="Z135" s="25">
        <f>IF(Table1[[#This Row],[Years_Next_Rehab_Well]]&lt;=0,VLOOKUP(Table1[[#This Row],[Item_Rehab_WL]],[1]!Table2[#All],3,FALSE),0)</f>
        <v>0</v>
      </c>
      <c r="AA135" s="18">
        <f>IF(Table1[[#This Row],[Adjusted_ULife_HP]]&lt;=0,VLOOKUP(Table1[[#This Row],[Item_Handpump]],[1]!Table2[#All],3,FALSE),0)</f>
        <v>0</v>
      </c>
      <c r="AB135" s="18">
        <f>IF(Table1[[#This Row],[Adjusted_ULife_PF]]&lt;=0,VLOOKUP(Table1[[#This Row],[Item_Platform]],[1]!Table2[#All],3,FALSE),0)</f>
        <v>0</v>
      </c>
      <c r="AC135" s="18">
        <f>SUM(Table1[[#This Row],[current yr_wl]:[current yr_pf]])</f>
        <v>0</v>
      </c>
      <c r="AD135" s="25">
        <f>IF(Table1[[#This Row],[Years_Next_Rehab_Well]]=1,VLOOKUP(Table1[[#This Row],[Item_Rehab_WL]],[1]!Table2[#All],4,FALSE),0)</f>
        <v>0</v>
      </c>
      <c r="AE135" s="25">
        <f>IF(Table1[[#This Row],[Adjusted_ULife_HP]]=1,VLOOKUP(Table1[[#This Row],[Item_Handpump]],[1]!Table2[#All],4,FALSE),0)</f>
        <v>0</v>
      </c>
      <c r="AF135" s="25">
        <f>IF(Table1[[#This Row],[Adjusted_ULife_PF]]=1,VLOOKUP(Table1[[#This Row],[Item_Platform]],[1]!Table2[#All],4,FALSE),0)</f>
        <v>0</v>
      </c>
      <c r="AG135" s="25">
        <f>SUM(Table1[[#This Row],[yr 1_wl]:[yr 1_pf]])</f>
        <v>0</v>
      </c>
      <c r="AH135" s="25">
        <f>IF(Table1[[#This Row],[Years_Next_Rehab_Well]]=2,VLOOKUP(Table1[[#This Row],[Item_Rehab_WL]],[1]!Table2[#All],5,FALSE),0)</f>
        <v>0</v>
      </c>
      <c r="AI135" s="25">
        <f>IF(Table1[[#This Row],[Adjusted_ULife_HP]]=2,VLOOKUP(Table1[[#This Row],[Item_Handpump]],[1]!Table2[#All],5,FALSE),0)</f>
        <v>0</v>
      </c>
      <c r="AJ135" s="25">
        <f>IF(Table1[[#This Row],[Adjusted_ULife_PF]]=2,VLOOKUP(Table1[[#This Row],[Item_Platform]],[1]!Table2[#All],5,FALSE),0)</f>
        <v>0</v>
      </c>
      <c r="AK135" s="25">
        <f>SUM(Table1[[#This Row],[yr 2_wl]:[yr 2_pf]])</f>
        <v>0</v>
      </c>
      <c r="AL135" s="25">
        <f>IF(Table1[[#This Row],[Years_Next_Rehab_Well]]=3,VLOOKUP(Table1[[#This Row],[Item_Rehab_WL]],[1]!Table2[#All],6,FALSE),0)</f>
        <v>0</v>
      </c>
      <c r="AM135" s="25">
        <f>IF(Table1[[#This Row],[Adjusted_ULife_HP]]=3,VLOOKUP(Table1[[#This Row],[Item_Handpump]],[1]!Table2[#All],6,FALSE),0)</f>
        <v>0</v>
      </c>
      <c r="AN135" s="25">
        <f>IF(Table1[[#This Row],[Adjusted_ULife_PF]]=3,VLOOKUP(Table1[[#This Row],[Item_Platform]],[1]!Table2[#All],6,FALSE),0)</f>
        <v>0</v>
      </c>
      <c r="AO135" s="25">
        <f>SUM(Table1[[#This Row],[yr 3_wl]:[yr 3_pf]])</f>
        <v>0</v>
      </c>
      <c r="AP135" s="25">
        <f>IF(Table1[[#This Row],[Years_Next_Rehab_Well]]=4,VLOOKUP(Table1[[#This Row],[Item_Rehab_WL]],[1]!Table2[#All],7,FALSE),0)</f>
        <v>0</v>
      </c>
      <c r="AQ135" s="25">
        <f>IF(Table1[[#This Row],[Adjusted_ULife_HP]]=4,VLOOKUP(Table1[[#This Row],[Item_Handpump]],[1]!Table2[#All],7,FALSE),0)</f>
        <v>0</v>
      </c>
      <c r="AR135" s="25">
        <f>IF(Table1[[#This Row],[Adjusted_ULife_PF]]=4,VLOOKUP(Table1[[#This Row],[Item_Platform]],[1]!Table2[#All],7,FALSE),0)</f>
        <v>0</v>
      </c>
      <c r="AS135" s="25">
        <f>SUM(Table1[[#This Row],[yr 4_wl]:[yr 4_pf]])</f>
        <v>0</v>
      </c>
      <c r="AT135" s="25">
        <f>IF(Table1[[#This Row],[Years_Next_Rehab_Well]]=5,VLOOKUP(Table1[[#This Row],[Item_Rehab_WL]],[1]!Table2[#All],8,FALSE),0)</f>
        <v>0</v>
      </c>
      <c r="AU135" s="25">
        <f>IF(Table1[[#This Row],[Adjusted_ULife_HP]]=5,VLOOKUP(Table1[[#This Row],[Item_Handpump]],[1]!Table2[#All],8,FALSE),0)</f>
        <v>0</v>
      </c>
      <c r="AV135" s="25">
        <f>IF(Table1[[#This Row],[Adjusted_ULife_PF]]=5,VLOOKUP(Table1[[#This Row],[Item_Platform]],[1]!Table2[#All],8,FALSE),0)</f>
        <v>0</v>
      </c>
      <c r="AW135" s="25">
        <f>SUM(Table1[[#This Row],[yr 5_wl]:[yr 5_pf]])</f>
        <v>0</v>
      </c>
      <c r="AX135" s="25">
        <f>IF(Table1[[#This Row],[Years_Next_Rehab_Well]]=6,VLOOKUP(Table1[[#This Row],[Item_Rehab_WL]],[1]!Table2[#All],9,FALSE),0)</f>
        <v>7237.3498456746702</v>
      </c>
      <c r="AY135" s="25">
        <f>IF(Table1[[#This Row],[Adjusted_ULife_HP]]=6,VLOOKUP(Table1[[#This Row],[Item_Handpump]],[1]!Table2[#All],9,FALSE),0)</f>
        <v>0</v>
      </c>
      <c r="AZ135" s="25">
        <f>IF(Table1[[#This Row],[Adjusted_ULife_PF]]=6,VLOOKUP(Table1[[#This Row],[Item_Platform]],[1]!Table2[#All],9,FALSE),0)</f>
        <v>0</v>
      </c>
      <c r="BA135" s="25">
        <f>SUM(Table1[[#This Row],[yr 6_wl]:[yr 6_pf]])</f>
        <v>7237.3498456746702</v>
      </c>
      <c r="BB135" s="25">
        <f>IF(Table1[[#This Row],[Years_Next_Rehab_Well]]=7,VLOOKUP(Table1[[#This Row],[Item_Rehab_WL]],[1]!Table2[#All],10,FALSE),0)</f>
        <v>0</v>
      </c>
      <c r="BC135" s="25">
        <f>IF(Table1[[#This Row],[Adjusted_ULife_HP]]=7,VLOOKUP(Table1[[#This Row],[Item_Handpump]],[1]!Table2[#All],10,FALSE),0)</f>
        <v>0</v>
      </c>
      <c r="BD135" s="25">
        <f>IF(Table1[[#This Row],[Adjusted_ULife_PF]]=7,VLOOKUP(Table1[[#This Row],[Item_Platform]],[1]!Table2[#All],10,FALSE),0)</f>
        <v>0</v>
      </c>
      <c r="BE135" s="25">
        <f>SUM(Table1[[#This Row],[yr 7_wl]:[yr 7_pf]])</f>
        <v>0</v>
      </c>
      <c r="BF135" s="25">
        <f>IF(Table1[[#This Row],[Years_Next_Rehab_Well]]=8,VLOOKUP(Table1[[#This Row],[Item_Rehab_WL]],[1]!Table2[#All],11,FALSE),0)</f>
        <v>0</v>
      </c>
      <c r="BG135" s="25">
        <f>IF(Table1[[#This Row],[Adjusted_ULife_HP]]=8,VLOOKUP(Table1[[#This Row],[Item_Handpump]],[1]!Table2[#All],11,FALSE),0)</f>
        <v>0</v>
      </c>
      <c r="BH135" s="25">
        <f>IF(Table1[[#This Row],[Adjusted_ULife_PF]]=8,VLOOKUP(Table1[[#This Row],[Item_Platform]],[1]!Table2[#All],11,FALSE),0)</f>
        <v>3713.944764442218</v>
      </c>
      <c r="BI135" s="25">
        <f>SUM(Table1[[#This Row],[yr 8_wl]:[yr 8_pf]])</f>
        <v>3713.944764442218</v>
      </c>
      <c r="BJ135" s="25">
        <f>IF(Table1[[#This Row],[Years_Next_Rehab_Well]]=9,VLOOKUP(Table1[[#This Row],[Item_Rehab_WL]],[1]!Table2[#All],12,FALSE),0)</f>
        <v>0</v>
      </c>
      <c r="BK135" s="25">
        <f>IF(Table1[[#This Row],[Adjusted_ULife_HP]]=9,VLOOKUP(Table1[[#This Row],[Item_Handpump]],[1]!Table2[#All],12,FALSE),0)</f>
        <v>0</v>
      </c>
      <c r="BL135" s="25">
        <f>IF(Table1[[#This Row],[Adjusted_ULife_PF]]=9,VLOOKUP(Table1[[#This Row],[Item_Platform]],[1]!Table2[#All],12,FALSE),0)</f>
        <v>0</v>
      </c>
      <c r="BM135" s="25">
        <f>SUM(Table1[[#This Row],[yr 9_wl]:[yr 9_pf]])</f>
        <v>0</v>
      </c>
      <c r="BN135" s="25">
        <f>IF(Table1[[#This Row],[Years_Next_Rehab_Well]]=10,VLOOKUP(Table1[[#This Row],[Item_Rehab_WL]],[1]!Table2[#All],13,FALSE),0)</f>
        <v>0</v>
      </c>
      <c r="BO135" s="25">
        <f>IF(Table1[[#This Row],[Adjusted_ULife_HP]]=10,VLOOKUP(Table1[[#This Row],[Item_Handpump]],[1]!Table2[#All],13,FALSE),0)</f>
        <v>0</v>
      </c>
      <c r="BP135" s="25">
        <f>IF(Table1[[#This Row],[Adjusted_ULife_PF]]=10,VLOOKUP(Table1[[#This Row],[Item_Platform]],[1]!Table2[#All],13,FALSE),0)</f>
        <v>0</v>
      </c>
      <c r="BQ135" s="25">
        <f>SUM(Table1[[#This Row],[yr 10_wl]:[yr 10_pf]])</f>
        <v>0</v>
      </c>
      <c r="BR135" s="25">
        <f>IF(Table1[[#This Row],[Years_Next_Rehab_Well]]=11,VLOOKUP(Table1[[#This Row],[Item_Rehab_WL]],[1]!Table2[#All],14,FALSE),0)</f>
        <v>0</v>
      </c>
      <c r="BS135" s="25">
        <f>IF(Table1[[#This Row],[Adjusted_ULife_HP]]=11,VLOOKUP(Table1[[#This Row],[Item_Handpump]],[1]!Table2[#All],14,FALSE),0)</f>
        <v>0</v>
      </c>
      <c r="BT135" s="25">
        <f>IF(Table1[[#This Row],[Adjusted_ULife_PF]]=11,VLOOKUP(Table1[[#This Row],[Item_Platform]],[1]!Table2[#All],14,FALSE),0)</f>
        <v>0</v>
      </c>
      <c r="BU135" s="25">
        <f>SUM(Table1[[#This Row],[yr 11_wl]:[yr 11_pf]])</f>
        <v>0</v>
      </c>
      <c r="BV135" s="25">
        <f>IF(Table1[[#This Row],[Years_Next_Rehab_Well]]=12,VLOOKUP(Table1[[#This Row],[Item_Rehab_WL]],[1]!Table2[#All],15,FALSE),0)</f>
        <v>0</v>
      </c>
      <c r="BW135" s="25">
        <f>IF(Table1[[#This Row],[Adjusted_ULife_HP]]=12,VLOOKUP(Table1[[#This Row],[Item_Handpump]],[1]!Table2[#All],15,FALSE),0)</f>
        <v>0</v>
      </c>
      <c r="BX135" s="25">
        <f>IF(Table1[[#This Row],[Adjusted_ULife_PF]]=12,VLOOKUP(Table1[[#This Row],[Item_Platform]],[1]!Table2[#All],15,FALSE),0)</f>
        <v>0</v>
      </c>
      <c r="BY135" s="25">
        <f>SUM(Table1[[#This Row],[yr 12_wl]:[yr 12_pf]])</f>
        <v>0</v>
      </c>
      <c r="BZ135" s="25">
        <f>IF(Table1[[#This Row],[Years_Next_Rehab_Well]]=13,VLOOKUP(Table1[[#This Row],[Item_Rehab_WL]],[1]!Table2[#All],16,FALSE),0)</f>
        <v>0</v>
      </c>
      <c r="CA135" s="25">
        <f>IF(Table1[[#This Row],[Adjusted_ULife_HP]]=13,VLOOKUP(Table1[[#This Row],[Item_Handpump]],[1]!Table2[#All],16,FALSE),0)</f>
        <v>0</v>
      </c>
      <c r="CB135" s="25">
        <f>IF(Table1[[#This Row],[Adjusted_ULife_PF]]=13,VLOOKUP(Table1[[#This Row],[Item_Platform]],[1]!Table2[#All],16,FALSE),0)</f>
        <v>0</v>
      </c>
      <c r="CC135" s="25">
        <f>SUM(Table1[[#This Row],[yr 13_wl]:[yr 13_pf]])</f>
        <v>0</v>
      </c>
      <c r="CD135" s="12"/>
    </row>
    <row r="136" spans="1:82" s="11" customFormat="1" x14ac:dyDescent="0.25">
      <c r="A136" s="11" t="str">
        <f>IF([1]Input_monitoring_data!A132="","",[1]Input_monitoring_data!A132)</f>
        <v>qxer-u2v7-mcvm</v>
      </c>
      <c r="B136" s="22" t="str">
        <f>[1]Input_monitoring_data!BH132</f>
        <v>Gambia</v>
      </c>
      <c r="C136" s="22" t="str">
        <f>[1]Input_monitoring_data!BI132</f>
        <v>Agravi</v>
      </c>
      <c r="D136" s="22" t="str">
        <f>[1]Input_monitoring_data!P132</f>
        <v>7.032267948735068</v>
      </c>
      <c r="E136" s="22" t="str">
        <f>[1]Input_monitoring_data!Q132</f>
        <v>-2.7072584059075817</v>
      </c>
      <c r="F136" s="22" t="str">
        <f>[1]Input_monitoring_data!V132</f>
        <v>Alex Gafel Premises</v>
      </c>
      <c r="G136" s="23" t="str">
        <f>[1]Input_monitoring_data!U132</f>
        <v>Borehole</v>
      </c>
      <c r="H136" s="22">
        <f>[1]Input_monitoring_data!X132</f>
        <v>2012</v>
      </c>
      <c r="I136" s="21" t="str">
        <f>[1]Input_monitoring_data!AB132</f>
        <v>Borehole redevelopment</v>
      </c>
      <c r="J136" s="21">
        <f>[1]Input_monitoring_data!AC132</f>
        <v>0</v>
      </c>
      <c r="K136" s="23" t="str">
        <f>[1]Input_monitoring_data!W132</f>
        <v>Vergnet</v>
      </c>
      <c r="L136" s="22">
        <f>[1]Input_monitoring_data!X132</f>
        <v>2012</v>
      </c>
      <c r="M136" s="21" t="str">
        <f>IF([1]Input_monitoring_data!BL132&gt;'Point Sources_Asset_Register_'!L136,[1]Input_monitoring_data!BL132,"")</f>
        <v/>
      </c>
      <c r="N136" s="22" t="str">
        <f>[1]Input_monitoring_data!BQ132</f>
        <v>not functional</v>
      </c>
      <c r="O136" s="22" t="str">
        <f>[1]Input_monitoring_data!AJ132</f>
        <v>Yet to be Completed</v>
      </c>
      <c r="P136" s="23" t="s">
        <v>0</v>
      </c>
      <c r="Q136" s="22">
        <f>L136</f>
        <v>2012</v>
      </c>
      <c r="R136" s="21" t="str">
        <f>M136</f>
        <v/>
      </c>
      <c r="S136" s="20">
        <f>[1]Input_EUL_CRC_ERC!$B$17-Table1[[#This Row],[Year Installed_WL]]</f>
        <v>5</v>
      </c>
      <c r="T136" s="20">
        <f>[1]Input_EUL_CRC_ERC!$B$17-(IF(Table1[[#This Row],[Year Last_Rehab_WL ]]=0,Table1[[#This Row],[Year Installed_WL]],[1]Input_EUL_CRC_ERC!$B$17-Table1[[#This Row],[Year Last_Rehab_WL ]]))</f>
        <v>5</v>
      </c>
      <c r="U136" s="20">
        <f>(VLOOKUP(Table1[[#This Row],[Item_Rehab_WL]],[1]Input_EUL_CRC_ERC!$C$17:$E$27,2,FALSE)-Table1[[#This Row],[Last Rehab Age]])</f>
        <v>10</v>
      </c>
      <c r="V136" s="19">
        <f>[1]Input_EUL_CRC_ERC!$B$17-Table1[[#This Row],[Year Installed_HP]]</f>
        <v>5</v>
      </c>
      <c r="W136" s="19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136" s="19">
        <f>[1]Input_EUL_CRC_ERC!$B$17-Table1[[#This Row],[Year Installed_PF]]</f>
        <v>5</v>
      </c>
      <c r="Y136" s="19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136" s="25">
        <f>IF(Table1[[#This Row],[Years_Next_Rehab_Well]]&lt;=0,VLOOKUP(Table1[[#This Row],[Item_Rehab_WL]],[1]!Table2[#All],3,FALSE),0)</f>
        <v>0</v>
      </c>
      <c r="AA136" s="18">
        <f>IF(Table1[[#This Row],[Adjusted_ULife_HP]]&lt;=0,VLOOKUP(Table1[[#This Row],[Item_Handpump]],[1]!Table2[#All],3,FALSE),0)</f>
        <v>0</v>
      </c>
      <c r="AB136" s="18">
        <f>IF(Table1[[#This Row],[Adjusted_ULife_PF]]&lt;=0,VLOOKUP(Table1[[#This Row],[Item_Platform]],[1]!Table2[#All],3,FALSE),0)</f>
        <v>0</v>
      </c>
      <c r="AC136" s="18">
        <f>SUM(Table1[[#This Row],[current yr_wl]:[current yr_pf]])</f>
        <v>0</v>
      </c>
      <c r="AD136" s="25">
        <f>IF(Table1[[#This Row],[Years_Next_Rehab_Well]]=1,VLOOKUP(Table1[[#This Row],[Item_Rehab_WL]],[1]!Table2[#All],4,FALSE),0)</f>
        <v>0</v>
      </c>
      <c r="AE136" s="25">
        <f>IF(Table1[[#This Row],[Adjusted_ULife_HP]]=1,VLOOKUP(Table1[[#This Row],[Item_Handpump]],[1]!Table2[#All],4,FALSE),0)</f>
        <v>0</v>
      </c>
      <c r="AF136" s="25">
        <f>IF(Table1[[#This Row],[Adjusted_ULife_PF]]=1,VLOOKUP(Table1[[#This Row],[Item_Platform]],[1]!Table2[#All],4,FALSE),0)</f>
        <v>0</v>
      </c>
      <c r="AG136" s="25">
        <f>SUM(Table1[[#This Row],[yr 1_wl]:[yr 1_pf]])</f>
        <v>0</v>
      </c>
      <c r="AH136" s="25">
        <f>IF(Table1[[#This Row],[Years_Next_Rehab_Well]]=2,VLOOKUP(Table1[[#This Row],[Item_Rehab_WL]],[1]!Table2[#All],5,FALSE),0)</f>
        <v>0</v>
      </c>
      <c r="AI136" s="25">
        <f>IF(Table1[[#This Row],[Adjusted_ULife_HP]]=2,VLOOKUP(Table1[[#This Row],[Item_Handpump]],[1]!Table2[#All],5,FALSE),0)</f>
        <v>0</v>
      </c>
      <c r="AJ136" s="25">
        <f>IF(Table1[[#This Row],[Adjusted_ULife_PF]]=2,VLOOKUP(Table1[[#This Row],[Item_Platform]],[1]!Table2[#All],5,FALSE),0)</f>
        <v>0</v>
      </c>
      <c r="AK136" s="25">
        <f>SUM(Table1[[#This Row],[yr 2_wl]:[yr 2_pf]])</f>
        <v>0</v>
      </c>
      <c r="AL136" s="25">
        <f>IF(Table1[[#This Row],[Years_Next_Rehab_Well]]=3,VLOOKUP(Table1[[#This Row],[Item_Rehab_WL]],[1]!Table2[#All],6,FALSE),0)</f>
        <v>0</v>
      </c>
      <c r="AM136" s="25">
        <f>IF(Table1[[#This Row],[Adjusted_ULife_HP]]=3,VLOOKUP(Table1[[#This Row],[Item_Handpump]],[1]!Table2[#All],6,FALSE),0)</f>
        <v>0</v>
      </c>
      <c r="AN136" s="25">
        <f>IF(Table1[[#This Row],[Adjusted_ULife_PF]]=3,VLOOKUP(Table1[[#This Row],[Item_Platform]],[1]!Table2[#All],6,FALSE),0)</f>
        <v>0</v>
      </c>
      <c r="AO136" s="25">
        <f>SUM(Table1[[#This Row],[yr 3_wl]:[yr 3_pf]])</f>
        <v>0</v>
      </c>
      <c r="AP136" s="25">
        <f>IF(Table1[[#This Row],[Years_Next_Rehab_Well]]=4,VLOOKUP(Table1[[#This Row],[Item_Rehab_WL]],[1]!Table2[#All],7,FALSE),0)</f>
        <v>0</v>
      </c>
      <c r="AQ136" s="25">
        <f>IF(Table1[[#This Row],[Adjusted_ULife_HP]]=4,VLOOKUP(Table1[[#This Row],[Item_Handpump]],[1]!Table2[#All],7,FALSE),0)</f>
        <v>0</v>
      </c>
      <c r="AR136" s="25">
        <f>IF(Table1[[#This Row],[Adjusted_ULife_PF]]=4,VLOOKUP(Table1[[#This Row],[Item_Platform]],[1]!Table2[#All],7,FALSE),0)</f>
        <v>0</v>
      </c>
      <c r="AS136" s="25">
        <f>SUM(Table1[[#This Row],[yr 4_wl]:[yr 4_pf]])</f>
        <v>0</v>
      </c>
      <c r="AT136" s="25">
        <f>IF(Table1[[#This Row],[Years_Next_Rehab_Well]]=5,VLOOKUP(Table1[[#This Row],[Item_Rehab_WL]],[1]!Table2[#All],8,FALSE),0)</f>
        <v>0</v>
      </c>
      <c r="AU136" s="25">
        <f>IF(Table1[[#This Row],[Adjusted_ULife_HP]]=5,VLOOKUP(Table1[[#This Row],[Item_Handpump]],[1]!Table2[#All],8,FALSE),0)</f>
        <v>0</v>
      </c>
      <c r="AV136" s="25">
        <f>IF(Table1[[#This Row],[Adjusted_ULife_PF]]=5,VLOOKUP(Table1[[#This Row],[Item_Platform]],[1]!Table2[#All],8,FALSE),0)</f>
        <v>2643.5125248000018</v>
      </c>
      <c r="AW136" s="25">
        <f>SUM(Table1[[#This Row],[yr 5_wl]:[yr 5_pf]])</f>
        <v>2643.5125248000018</v>
      </c>
      <c r="AX136" s="25">
        <f>IF(Table1[[#This Row],[Years_Next_Rehab_Well]]=6,VLOOKUP(Table1[[#This Row],[Item_Rehab_WL]],[1]!Table2[#All],9,FALSE),0)</f>
        <v>0</v>
      </c>
      <c r="AY136" s="25">
        <f>IF(Table1[[#This Row],[Adjusted_ULife_HP]]=6,VLOOKUP(Table1[[#This Row],[Item_Handpump]],[1]!Table2[#All],9,FALSE),0)</f>
        <v>0</v>
      </c>
      <c r="AZ136" s="25">
        <f>IF(Table1[[#This Row],[Adjusted_ULife_PF]]=6,VLOOKUP(Table1[[#This Row],[Item_Platform]],[1]!Table2[#All],9,FALSE),0)</f>
        <v>0</v>
      </c>
      <c r="BA136" s="25">
        <f>SUM(Table1[[#This Row],[yr 6_wl]:[yr 6_pf]])</f>
        <v>0</v>
      </c>
      <c r="BB136" s="25">
        <f>IF(Table1[[#This Row],[Years_Next_Rehab_Well]]=7,VLOOKUP(Table1[[#This Row],[Item_Rehab_WL]],[1]!Table2[#All],10,FALSE),0)</f>
        <v>0</v>
      </c>
      <c r="BC136" s="25">
        <f>IF(Table1[[#This Row],[Adjusted_ULife_HP]]=7,VLOOKUP(Table1[[#This Row],[Item_Handpump]],[1]!Table2[#All],10,FALSE),0)</f>
        <v>0</v>
      </c>
      <c r="BD136" s="25">
        <f>IF(Table1[[#This Row],[Adjusted_ULife_PF]]=7,VLOOKUP(Table1[[#This Row],[Item_Platform]],[1]!Table2[#All],10,FALSE),0)</f>
        <v>0</v>
      </c>
      <c r="BE136" s="25">
        <f>SUM(Table1[[#This Row],[yr 7_wl]:[yr 7_pf]])</f>
        <v>0</v>
      </c>
      <c r="BF136" s="25">
        <f>IF(Table1[[#This Row],[Years_Next_Rehab_Well]]=8,VLOOKUP(Table1[[#This Row],[Item_Rehab_WL]],[1]!Table2[#All],11,FALSE),0)</f>
        <v>0</v>
      </c>
      <c r="BG136" s="25">
        <f>IF(Table1[[#This Row],[Adjusted_ULife_HP]]=8,VLOOKUP(Table1[[#This Row],[Item_Handpump]],[1]!Table2[#All],11,FALSE),0)</f>
        <v>0</v>
      </c>
      <c r="BH136" s="25">
        <f>IF(Table1[[#This Row],[Adjusted_ULife_PF]]=8,VLOOKUP(Table1[[#This Row],[Item_Platform]],[1]!Table2[#All],11,FALSE),0)</f>
        <v>0</v>
      </c>
      <c r="BI136" s="25">
        <f>SUM(Table1[[#This Row],[yr 8_wl]:[yr 8_pf]])</f>
        <v>0</v>
      </c>
      <c r="BJ136" s="25">
        <f>IF(Table1[[#This Row],[Years_Next_Rehab_Well]]=9,VLOOKUP(Table1[[#This Row],[Item_Rehab_WL]],[1]!Table2[#All],12,FALSE),0)</f>
        <v>0</v>
      </c>
      <c r="BK136" s="25">
        <f>IF(Table1[[#This Row],[Adjusted_ULife_HP]]=9,VLOOKUP(Table1[[#This Row],[Item_Handpump]],[1]!Table2[#All],12,FALSE),0)</f>
        <v>0</v>
      </c>
      <c r="BL136" s="25">
        <f>IF(Table1[[#This Row],[Adjusted_ULife_PF]]=9,VLOOKUP(Table1[[#This Row],[Item_Platform]],[1]!Table2[#All],12,FALSE),0)</f>
        <v>0</v>
      </c>
      <c r="BM136" s="25">
        <f>SUM(Table1[[#This Row],[yr 9_wl]:[yr 9_pf]])</f>
        <v>0</v>
      </c>
      <c r="BN136" s="25">
        <f>IF(Table1[[#This Row],[Years_Next_Rehab_Well]]=10,VLOOKUP(Table1[[#This Row],[Item_Rehab_WL]],[1]!Table2[#All],13,FALSE),0)</f>
        <v>11388.110097262112</v>
      </c>
      <c r="BO136" s="25">
        <f>IF(Table1[[#This Row],[Adjusted_ULife_HP]]=10,VLOOKUP(Table1[[#This Row],[Item_Handpump]],[1]!Table2[#All],13,FALSE),0)</f>
        <v>0</v>
      </c>
      <c r="BP136" s="25">
        <f>IF(Table1[[#This Row],[Adjusted_ULife_PF]]=10,VLOOKUP(Table1[[#This Row],[Item_Platform]],[1]!Table2[#All],13,FALSE),0)</f>
        <v>0</v>
      </c>
      <c r="BQ136" s="25">
        <f>SUM(Table1[[#This Row],[yr 10_wl]:[yr 10_pf]])</f>
        <v>11388.110097262112</v>
      </c>
      <c r="BR136" s="25">
        <f>IF(Table1[[#This Row],[Years_Next_Rehab_Well]]=11,VLOOKUP(Table1[[#This Row],[Item_Rehab_WL]],[1]!Table2[#All],14,FALSE),0)</f>
        <v>0</v>
      </c>
      <c r="BS136" s="25">
        <f>IF(Table1[[#This Row],[Adjusted_ULife_HP]]=11,VLOOKUP(Table1[[#This Row],[Item_Handpump]],[1]!Table2[#All],14,FALSE),0)</f>
        <v>0</v>
      </c>
      <c r="BT136" s="25">
        <f>IF(Table1[[#This Row],[Adjusted_ULife_PF]]=11,VLOOKUP(Table1[[#This Row],[Item_Platform]],[1]!Table2[#All],14,FALSE),0)</f>
        <v>0</v>
      </c>
      <c r="BU136" s="25">
        <f>SUM(Table1[[#This Row],[yr 11_wl]:[yr 11_pf]])</f>
        <v>0</v>
      </c>
      <c r="BV136" s="25">
        <f>IF(Table1[[#This Row],[Years_Next_Rehab_Well]]=12,VLOOKUP(Table1[[#This Row],[Item_Rehab_WL]],[1]!Table2[#All],15,FALSE),0)</f>
        <v>0</v>
      </c>
      <c r="BW136" s="25">
        <f>IF(Table1[[#This Row],[Adjusted_ULife_HP]]=12,VLOOKUP(Table1[[#This Row],[Item_Handpump]],[1]!Table2[#All],15,FALSE),0)</f>
        <v>0</v>
      </c>
      <c r="BX136" s="25">
        <f>IF(Table1[[#This Row],[Adjusted_ULife_PF]]=12,VLOOKUP(Table1[[#This Row],[Item_Platform]],[1]!Table2[#All],15,FALSE),0)</f>
        <v>0</v>
      </c>
      <c r="BY136" s="25">
        <f>SUM(Table1[[#This Row],[yr 12_wl]:[yr 12_pf]])</f>
        <v>0</v>
      </c>
      <c r="BZ136" s="25">
        <f>IF(Table1[[#This Row],[Years_Next_Rehab_Well]]=13,VLOOKUP(Table1[[#This Row],[Item_Rehab_WL]],[1]!Table2[#All],16,FALSE),0)</f>
        <v>0</v>
      </c>
      <c r="CA136" s="25">
        <f>IF(Table1[[#This Row],[Adjusted_ULife_HP]]=13,VLOOKUP(Table1[[#This Row],[Item_Handpump]],[1]!Table2[#All],16,FALSE),0)</f>
        <v>0</v>
      </c>
      <c r="CB136" s="25">
        <f>IF(Table1[[#This Row],[Adjusted_ULife_PF]]=13,VLOOKUP(Table1[[#This Row],[Item_Platform]],[1]!Table2[#All],16,FALSE),0)</f>
        <v>0</v>
      </c>
      <c r="CC136" s="25">
        <f>SUM(Table1[[#This Row],[yr 13_wl]:[yr 13_pf]])</f>
        <v>0</v>
      </c>
      <c r="CD136" s="12"/>
    </row>
    <row r="137" spans="1:82" s="11" customFormat="1" x14ac:dyDescent="0.25">
      <c r="A137" s="11" t="str">
        <f>IF([1]Input_monitoring_data!A133="","",[1]Input_monitoring_data!A133)</f>
        <v>r52g-vgr7-u6xb</v>
      </c>
      <c r="B137" s="22" t="str">
        <f>[1]Input_monitoring_data!BH133</f>
        <v>Goamu</v>
      </c>
      <c r="C137" s="22" t="str">
        <f>[1]Input_monitoring_data!BI133</f>
        <v>Kojokrom</v>
      </c>
      <c r="D137" s="22" t="str">
        <f>[1]Input_monitoring_data!P133</f>
        <v>6.999756511480772</v>
      </c>
      <c r="E137" s="22" t="str">
        <f>[1]Input_monitoring_data!Q133</f>
        <v>-2.486321015616352</v>
      </c>
      <c r="F137" s="22" t="str">
        <f>[1]Input_monitoring_data!V133</f>
        <v>Adjacent The Mosque</v>
      </c>
      <c r="G137" s="23" t="str">
        <f>[1]Input_monitoring_data!U133</f>
        <v>Borehole</v>
      </c>
      <c r="H137" s="22">
        <f>[1]Input_monitoring_data!X133</f>
        <v>2002</v>
      </c>
      <c r="I137" s="21" t="str">
        <f>[1]Input_monitoring_data!AB133</f>
        <v>Borehole redevelopment</v>
      </c>
      <c r="J137" s="21">
        <f>[1]Input_monitoring_data!AC133</f>
        <v>0</v>
      </c>
      <c r="K137" s="23" t="str">
        <f>[1]Input_monitoring_data!W133</f>
        <v>AfriDev</v>
      </c>
      <c r="L137" s="22">
        <f>[1]Input_monitoring_data!X133</f>
        <v>2002</v>
      </c>
      <c r="M137" s="21">
        <f>IF([1]Input_monitoring_data!BL133&gt;'Point Sources_Asset_Register_'!L137,[1]Input_monitoring_data!BL133,"")</f>
        <v>2015</v>
      </c>
      <c r="N137" s="22" t="str">
        <f>[1]Input_monitoring_data!BQ133</f>
        <v>functional</v>
      </c>
      <c r="O137" s="22">
        <f>[1]Input_monitoring_data!AJ133</f>
        <v>0</v>
      </c>
      <c r="P137" s="23" t="s">
        <v>0</v>
      </c>
      <c r="Q137" s="22">
        <f>L137</f>
        <v>2002</v>
      </c>
      <c r="R137" s="21">
        <f>M137</f>
        <v>2015</v>
      </c>
      <c r="S137" s="20">
        <f>[1]Input_EUL_CRC_ERC!$B$17-Table1[[#This Row],[Year Installed_WL]]</f>
        <v>15</v>
      </c>
      <c r="T137" s="20">
        <f>[1]Input_EUL_CRC_ERC!$B$17-(IF(Table1[[#This Row],[Year Last_Rehab_WL ]]=0,Table1[[#This Row],[Year Installed_WL]],[1]Input_EUL_CRC_ERC!$B$17-Table1[[#This Row],[Year Last_Rehab_WL ]]))</f>
        <v>15</v>
      </c>
      <c r="U137" s="20">
        <f>(VLOOKUP(Table1[[#This Row],[Item_Rehab_WL]],[1]Input_EUL_CRC_ERC!$C$17:$E$27,2,FALSE)-Table1[[#This Row],[Last Rehab Age]])</f>
        <v>0</v>
      </c>
      <c r="V137" s="19">
        <f>[1]Input_EUL_CRC_ERC!$B$17-Table1[[#This Row],[Year Installed_HP]]</f>
        <v>15</v>
      </c>
      <c r="W137" s="19">
        <f>(VLOOKUP(Table1[[#This Row],[Item_Handpump]],[1]!Table2[#All],2,FALSE))-(IF(Table1[[#This Row],[Year Last_Rehab_HP]]="",Table1[[#This Row],[Current Age_Handpump]],[1]Input_EUL_CRC_ERC!$B$17-Table1[[#This Row],[Year Last_Rehab_HP]]))</f>
        <v>18</v>
      </c>
      <c r="X137" s="19">
        <f>[1]Input_EUL_CRC_ERC!$B$17-Table1[[#This Row],[Year Installed_PF]]</f>
        <v>15</v>
      </c>
      <c r="Y137" s="19">
        <f>(VLOOKUP(Table1[[#This Row],[Item_Platform]],[1]!Table2[#All],2,FALSE))-(IF(Table1[[#This Row],[Year Last_Rehab_PF]]="",Table1[[#This Row],[Current Age_Platform]],[1]Input_EUL_CRC_ERC!$B$17-Table1[[#This Row],[Year Last_Rehab_PF]]))</f>
        <v>8</v>
      </c>
      <c r="Z137" s="25">
        <f>IF(Table1[[#This Row],[Years_Next_Rehab_Well]]&lt;=0,VLOOKUP(Table1[[#This Row],[Item_Rehab_WL]],[1]!Table2[#All],3,FALSE),0)</f>
        <v>3666.6666666666665</v>
      </c>
      <c r="AA137" s="18">
        <f>IF(Table1[[#This Row],[Adjusted_ULife_HP]]&lt;=0,VLOOKUP(Table1[[#This Row],[Item_Handpump]],[1]!Table2[#All],3,FALSE),0)</f>
        <v>0</v>
      </c>
      <c r="AB137" s="18">
        <f>IF(Table1[[#This Row],[Adjusted_ULife_PF]]&lt;=0,VLOOKUP(Table1[[#This Row],[Item_Platform]],[1]!Table2[#All],3,FALSE),0)</f>
        <v>0</v>
      </c>
      <c r="AC137" s="18">
        <f>SUM(Table1[[#This Row],[current yr_wl]:[current yr_pf]])</f>
        <v>3666.6666666666665</v>
      </c>
      <c r="AD137" s="25">
        <f>IF(Table1[[#This Row],[Years_Next_Rehab_Well]]=1,VLOOKUP(Table1[[#This Row],[Item_Rehab_WL]],[1]!Table2[#All],4,FALSE),0)</f>
        <v>0</v>
      </c>
      <c r="AE137" s="25">
        <f>IF(Table1[[#This Row],[Adjusted_ULife_HP]]=1,VLOOKUP(Table1[[#This Row],[Item_Handpump]],[1]!Table2[#All],4,FALSE),0)</f>
        <v>0</v>
      </c>
      <c r="AF137" s="25">
        <f>IF(Table1[[#This Row],[Adjusted_ULife_PF]]=1,VLOOKUP(Table1[[#This Row],[Item_Platform]],[1]!Table2[#All],4,FALSE),0)</f>
        <v>0</v>
      </c>
      <c r="AG137" s="25">
        <f>SUM(Table1[[#This Row],[yr 1_wl]:[yr 1_pf]])</f>
        <v>0</v>
      </c>
      <c r="AH137" s="25">
        <f>IF(Table1[[#This Row],[Years_Next_Rehab_Well]]=2,VLOOKUP(Table1[[#This Row],[Item_Rehab_WL]],[1]!Table2[#All],5,FALSE),0)</f>
        <v>0</v>
      </c>
      <c r="AI137" s="25">
        <f>IF(Table1[[#This Row],[Adjusted_ULife_HP]]=2,VLOOKUP(Table1[[#This Row],[Item_Handpump]],[1]!Table2[#All],5,FALSE),0)</f>
        <v>0</v>
      </c>
      <c r="AJ137" s="25">
        <f>IF(Table1[[#This Row],[Adjusted_ULife_PF]]=2,VLOOKUP(Table1[[#This Row],[Item_Platform]],[1]!Table2[#All],5,FALSE),0)</f>
        <v>0</v>
      </c>
      <c r="AK137" s="25">
        <f>SUM(Table1[[#This Row],[yr 2_wl]:[yr 2_pf]])</f>
        <v>0</v>
      </c>
      <c r="AL137" s="25">
        <f>IF(Table1[[#This Row],[Years_Next_Rehab_Well]]=3,VLOOKUP(Table1[[#This Row],[Item_Rehab_WL]],[1]!Table2[#All],6,FALSE),0)</f>
        <v>0</v>
      </c>
      <c r="AM137" s="25">
        <f>IF(Table1[[#This Row],[Adjusted_ULife_HP]]=3,VLOOKUP(Table1[[#This Row],[Item_Handpump]],[1]!Table2[#All],6,FALSE),0)</f>
        <v>0</v>
      </c>
      <c r="AN137" s="25">
        <f>IF(Table1[[#This Row],[Adjusted_ULife_PF]]=3,VLOOKUP(Table1[[#This Row],[Item_Platform]],[1]!Table2[#All],6,FALSE),0)</f>
        <v>0</v>
      </c>
      <c r="AO137" s="25">
        <f>SUM(Table1[[#This Row],[yr 3_wl]:[yr 3_pf]])</f>
        <v>0</v>
      </c>
      <c r="AP137" s="25">
        <f>IF(Table1[[#This Row],[Years_Next_Rehab_Well]]=4,VLOOKUP(Table1[[#This Row],[Item_Rehab_WL]],[1]!Table2[#All],7,FALSE),0)</f>
        <v>0</v>
      </c>
      <c r="AQ137" s="25">
        <f>IF(Table1[[#This Row],[Adjusted_ULife_HP]]=4,VLOOKUP(Table1[[#This Row],[Item_Handpump]],[1]!Table2[#All],7,FALSE),0)</f>
        <v>0</v>
      </c>
      <c r="AR137" s="25">
        <f>IF(Table1[[#This Row],[Adjusted_ULife_PF]]=4,VLOOKUP(Table1[[#This Row],[Item_Platform]],[1]!Table2[#All],7,FALSE),0)</f>
        <v>0</v>
      </c>
      <c r="AS137" s="25">
        <f>SUM(Table1[[#This Row],[yr 4_wl]:[yr 4_pf]])</f>
        <v>0</v>
      </c>
      <c r="AT137" s="25">
        <f>IF(Table1[[#This Row],[Years_Next_Rehab_Well]]=5,VLOOKUP(Table1[[#This Row],[Item_Rehab_WL]],[1]!Table2[#All],8,FALSE),0)</f>
        <v>0</v>
      </c>
      <c r="AU137" s="25">
        <f>IF(Table1[[#This Row],[Adjusted_ULife_HP]]=5,VLOOKUP(Table1[[#This Row],[Item_Handpump]],[1]!Table2[#All],8,FALSE),0)</f>
        <v>0</v>
      </c>
      <c r="AV137" s="25">
        <f>IF(Table1[[#This Row],[Adjusted_ULife_PF]]=5,VLOOKUP(Table1[[#This Row],[Item_Platform]],[1]!Table2[#All],8,FALSE),0)</f>
        <v>0</v>
      </c>
      <c r="AW137" s="25">
        <f>SUM(Table1[[#This Row],[yr 5_wl]:[yr 5_pf]])</f>
        <v>0</v>
      </c>
      <c r="AX137" s="25">
        <f>IF(Table1[[#This Row],[Years_Next_Rehab_Well]]=6,VLOOKUP(Table1[[#This Row],[Item_Rehab_WL]],[1]!Table2[#All],9,FALSE),0)</f>
        <v>0</v>
      </c>
      <c r="AY137" s="25">
        <f>IF(Table1[[#This Row],[Adjusted_ULife_HP]]=6,VLOOKUP(Table1[[#This Row],[Item_Handpump]],[1]!Table2[#All],9,FALSE),0)</f>
        <v>0</v>
      </c>
      <c r="AZ137" s="25">
        <f>IF(Table1[[#This Row],[Adjusted_ULife_PF]]=6,VLOOKUP(Table1[[#This Row],[Item_Platform]],[1]!Table2[#All],9,FALSE),0)</f>
        <v>0</v>
      </c>
      <c r="BA137" s="25">
        <f>SUM(Table1[[#This Row],[yr 6_wl]:[yr 6_pf]])</f>
        <v>0</v>
      </c>
      <c r="BB137" s="25">
        <f>IF(Table1[[#This Row],[Years_Next_Rehab_Well]]=7,VLOOKUP(Table1[[#This Row],[Item_Rehab_WL]],[1]!Table2[#All],10,FALSE),0)</f>
        <v>0</v>
      </c>
      <c r="BC137" s="25">
        <f>IF(Table1[[#This Row],[Adjusted_ULife_HP]]=7,VLOOKUP(Table1[[#This Row],[Item_Handpump]],[1]!Table2[#All],10,FALSE),0)</f>
        <v>0</v>
      </c>
      <c r="BD137" s="25">
        <f>IF(Table1[[#This Row],[Adjusted_ULife_PF]]=7,VLOOKUP(Table1[[#This Row],[Item_Platform]],[1]!Table2[#All],10,FALSE),0)</f>
        <v>0</v>
      </c>
      <c r="BE137" s="25">
        <f>SUM(Table1[[#This Row],[yr 7_wl]:[yr 7_pf]])</f>
        <v>0</v>
      </c>
      <c r="BF137" s="25">
        <f>IF(Table1[[#This Row],[Years_Next_Rehab_Well]]=8,VLOOKUP(Table1[[#This Row],[Item_Rehab_WL]],[1]!Table2[#All],11,FALSE),0)</f>
        <v>0</v>
      </c>
      <c r="BG137" s="25">
        <f>IF(Table1[[#This Row],[Adjusted_ULife_HP]]=8,VLOOKUP(Table1[[#This Row],[Item_Handpump]],[1]!Table2[#All],11,FALSE),0)</f>
        <v>0</v>
      </c>
      <c r="BH137" s="25">
        <f>IF(Table1[[#This Row],[Adjusted_ULife_PF]]=8,VLOOKUP(Table1[[#This Row],[Item_Platform]],[1]!Table2[#All],11,FALSE),0)</f>
        <v>3713.944764442218</v>
      </c>
      <c r="BI137" s="25">
        <f>SUM(Table1[[#This Row],[yr 8_wl]:[yr 8_pf]])</f>
        <v>3713.944764442218</v>
      </c>
      <c r="BJ137" s="25">
        <f>IF(Table1[[#This Row],[Years_Next_Rehab_Well]]=9,VLOOKUP(Table1[[#This Row],[Item_Rehab_WL]],[1]!Table2[#All],12,FALSE),0)</f>
        <v>0</v>
      </c>
      <c r="BK137" s="25">
        <f>IF(Table1[[#This Row],[Adjusted_ULife_HP]]=9,VLOOKUP(Table1[[#This Row],[Item_Handpump]],[1]!Table2[#All],12,FALSE),0)</f>
        <v>0</v>
      </c>
      <c r="BL137" s="25">
        <f>IF(Table1[[#This Row],[Adjusted_ULife_PF]]=9,VLOOKUP(Table1[[#This Row],[Item_Platform]],[1]!Table2[#All],12,FALSE),0)</f>
        <v>0</v>
      </c>
      <c r="BM137" s="25">
        <f>SUM(Table1[[#This Row],[yr 9_wl]:[yr 9_pf]])</f>
        <v>0</v>
      </c>
      <c r="BN137" s="25">
        <f>IF(Table1[[#This Row],[Years_Next_Rehab_Well]]=10,VLOOKUP(Table1[[#This Row],[Item_Rehab_WL]],[1]!Table2[#All],13,FALSE),0)</f>
        <v>0</v>
      </c>
      <c r="BO137" s="25">
        <f>IF(Table1[[#This Row],[Adjusted_ULife_HP]]=10,VLOOKUP(Table1[[#This Row],[Item_Handpump]],[1]!Table2[#All],13,FALSE),0)</f>
        <v>0</v>
      </c>
      <c r="BP137" s="25">
        <f>IF(Table1[[#This Row],[Adjusted_ULife_PF]]=10,VLOOKUP(Table1[[#This Row],[Item_Platform]],[1]!Table2[#All],13,FALSE),0)</f>
        <v>0</v>
      </c>
      <c r="BQ137" s="25">
        <f>SUM(Table1[[#This Row],[yr 10_wl]:[yr 10_pf]])</f>
        <v>0</v>
      </c>
      <c r="BR137" s="25">
        <f>IF(Table1[[#This Row],[Years_Next_Rehab_Well]]=11,VLOOKUP(Table1[[#This Row],[Item_Rehab_WL]],[1]!Table2[#All],14,FALSE),0)</f>
        <v>0</v>
      </c>
      <c r="BS137" s="25">
        <f>IF(Table1[[#This Row],[Adjusted_ULife_HP]]=11,VLOOKUP(Table1[[#This Row],[Item_Handpump]],[1]!Table2[#All],14,FALSE),0)</f>
        <v>0</v>
      </c>
      <c r="BT137" s="25">
        <f>IF(Table1[[#This Row],[Adjusted_ULife_PF]]=11,VLOOKUP(Table1[[#This Row],[Item_Platform]],[1]!Table2[#All],14,FALSE),0)</f>
        <v>0</v>
      </c>
      <c r="BU137" s="25">
        <f>SUM(Table1[[#This Row],[yr 11_wl]:[yr 11_pf]])</f>
        <v>0</v>
      </c>
      <c r="BV137" s="25">
        <f>IF(Table1[[#This Row],[Years_Next_Rehab_Well]]=12,VLOOKUP(Table1[[#This Row],[Item_Rehab_WL]],[1]!Table2[#All],15,FALSE),0)</f>
        <v>0</v>
      </c>
      <c r="BW137" s="25">
        <f>IF(Table1[[#This Row],[Adjusted_ULife_HP]]=12,VLOOKUP(Table1[[#This Row],[Item_Handpump]],[1]!Table2[#All],15,FALSE),0)</f>
        <v>0</v>
      </c>
      <c r="BX137" s="25">
        <f>IF(Table1[[#This Row],[Adjusted_ULife_PF]]=12,VLOOKUP(Table1[[#This Row],[Item_Platform]],[1]!Table2[#All],15,FALSE),0)</f>
        <v>0</v>
      </c>
      <c r="BY137" s="25">
        <f>SUM(Table1[[#This Row],[yr 12_wl]:[yr 12_pf]])</f>
        <v>0</v>
      </c>
      <c r="BZ137" s="25">
        <f>IF(Table1[[#This Row],[Years_Next_Rehab_Well]]=13,VLOOKUP(Table1[[#This Row],[Item_Rehab_WL]],[1]!Table2[#All],16,FALSE),0)</f>
        <v>0</v>
      </c>
      <c r="CA137" s="25">
        <f>IF(Table1[[#This Row],[Adjusted_ULife_HP]]=13,VLOOKUP(Table1[[#This Row],[Item_Handpump]],[1]!Table2[#All],16,FALSE),0)</f>
        <v>0</v>
      </c>
      <c r="CB137" s="25">
        <f>IF(Table1[[#This Row],[Adjusted_ULife_PF]]=13,VLOOKUP(Table1[[#This Row],[Item_Platform]],[1]!Table2[#All],16,FALSE),0)</f>
        <v>0</v>
      </c>
      <c r="CC137" s="25">
        <f>SUM(Table1[[#This Row],[yr 13_wl]:[yr 13_pf]])</f>
        <v>0</v>
      </c>
      <c r="CD137" s="12"/>
    </row>
    <row r="138" spans="1:82" s="11" customFormat="1" x14ac:dyDescent="0.25">
      <c r="A138" s="11" t="str">
        <f>IF([1]Input_monitoring_data!A134="","",[1]Input_monitoring_data!A134)</f>
        <v>r60e-aaq2-shgm</v>
      </c>
      <c r="B138" s="22" t="str">
        <f>[1]Input_monitoring_data!BH134</f>
        <v>Kenyasi No.1</v>
      </c>
      <c r="C138" s="22" t="str">
        <f>[1]Input_monitoring_data!BI134</f>
        <v>Agyeikrom</v>
      </c>
      <c r="D138" s="22" t="str">
        <f>[1]Input_monitoring_data!P134</f>
        <v>6.918628099829584</v>
      </c>
      <c r="E138" s="22" t="str">
        <f>[1]Input_monitoring_data!Q134</f>
        <v>-2.4042191711833443</v>
      </c>
      <c r="F138" s="22" t="str">
        <f>[1]Input_monitoring_data!V134</f>
        <v>Agya Gjagadu' S Premises</v>
      </c>
      <c r="G138" s="23" t="str">
        <f>[1]Input_monitoring_data!U134</f>
        <v>Borehole</v>
      </c>
      <c r="H138" s="22">
        <f>[1]Input_monitoring_data!X134</f>
        <v>2011</v>
      </c>
      <c r="I138" s="21" t="str">
        <f>[1]Input_monitoring_data!AB134</f>
        <v>Borehole redevelopment</v>
      </c>
      <c r="J138" s="21">
        <f>[1]Input_monitoring_data!AC134</f>
        <v>0</v>
      </c>
      <c r="K138" s="23" t="str">
        <f>[1]Input_monitoring_data!W134</f>
        <v>AfriDev</v>
      </c>
      <c r="L138" s="22">
        <f>[1]Input_monitoring_data!X134</f>
        <v>2011</v>
      </c>
      <c r="M138" s="21">
        <f>IF([1]Input_monitoring_data!BL134&gt;'Point Sources_Asset_Register_'!L138,[1]Input_monitoring_data!BL134,"")</f>
        <v>2016</v>
      </c>
      <c r="N138" s="22" t="str">
        <f>[1]Input_monitoring_data!BQ134</f>
        <v>functional</v>
      </c>
      <c r="O138" s="22">
        <f>[1]Input_monitoring_data!AJ134</f>
        <v>0</v>
      </c>
      <c r="P138" s="23" t="s">
        <v>0</v>
      </c>
      <c r="Q138" s="22">
        <f>L138</f>
        <v>2011</v>
      </c>
      <c r="R138" s="21">
        <f>M138</f>
        <v>2016</v>
      </c>
      <c r="S138" s="20">
        <f>[1]Input_EUL_CRC_ERC!$B$17-Table1[[#This Row],[Year Installed_WL]]</f>
        <v>6</v>
      </c>
      <c r="T138" s="20">
        <f>[1]Input_EUL_CRC_ERC!$B$17-(IF(Table1[[#This Row],[Year Last_Rehab_WL ]]=0,Table1[[#This Row],[Year Installed_WL]],[1]Input_EUL_CRC_ERC!$B$17-Table1[[#This Row],[Year Last_Rehab_WL ]]))</f>
        <v>6</v>
      </c>
      <c r="U138" s="20">
        <f>(VLOOKUP(Table1[[#This Row],[Item_Rehab_WL]],[1]Input_EUL_CRC_ERC!$C$17:$E$27,2,FALSE)-Table1[[#This Row],[Last Rehab Age]])</f>
        <v>9</v>
      </c>
      <c r="V138" s="19">
        <f>[1]Input_EUL_CRC_ERC!$B$17-Table1[[#This Row],[Year Installed_HP]]</f>
        <v>6</v>
      </c>
      <c r="W138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38" s="19">
        <f>[1]Input_EUL_CRC_ERC!$B$17-Table1[[#This Row],[Year Installed_PF]]</f>
        <v>6</v>
      </c>
      <c r="Y138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38" s="25">
        <f>IF(Table1[[#This Row],[Years_Next_Rehab_Well]]&lt;=0,VLOOKUP(Table1[[#This Row],[Item_Rehab_WL]],[1]!Table2[#All],3,FALSE),0)</f>
        <v>0</v>
      </c>
      <c r="AA138" s="18">
        <f>IF(Table1[[#This Row],[Adjusted_ULife_HP]]&lt;=0,VLOOKUP(Table1[[#This Row],[Item_Handpump]],[1]!Table2[#All],3,FALSE),0)</f>
        <v>0</v>
      </c>
      <c r="AB138" s="18">
        <f>IF(Table1[[#This Row],[Adjusted_ULife_PF]]&lt;=0,VLOOKUP(Table1[[#This Row],[Item_Platform]],[1]!Table2[#All],3,FALSE),0)</f>
        <v>0</v>
      </c>
      <c r="AC138" s="18">
        <f>SUM(Table1[[#This Row],[current yr_wl]:[current yr_pf]])</f>
        <v>0</v>
      </c>
      <c r="AD138" s="25">
        <f>IF(Table1[[#This Row],[Years_Next_Rehab_Well]]=1,VLOOKUP(Table1[[#This Row],[Item_Rehab_WL]],[1]!Table2[#All],4,FALSE),0)</f>
        <v>0</v>
      </c>
      <c r="AE138" s="25">
        <f>IF(Table1[[#This Row],[Adjusted_ULife_HP]]=1,VLOOKUP(Table1[[#This Row],[Item_Handpump]],[1]!Table2[#All],4,FALSE),0)</f>
        <v>0</v>
      </c>
      <c r="AF138" s="25">
        <f>IF(Table1[[#This Row],[Adjusted_ULife_PF]]=1,VLOOKUP(Table1[[#This Row],[Item_Platform]],[1]!Table2[#All],4,FALSE),0)</f>
        <v>0</v>
      </c>
      <c r="AG138" s="25">
        <f>SUM(Table1[[#This Row],[yr 1_wl]:[yr 1_pf]])</f>
        <v>0</v>
      </c>
      <c r="AH138" s="25">
        <f>IF(Table1[[#This Row],[Years_Next_Rehab_Well]]=2,VLOOKUP(Table1[[#This Row],[Item_Rehab_WL]],[1]!Table2[#All],5,FALSE),0)</f>
        <v>0</v>
      </c>
      <c r="AI138" s="25">
        <f>IF(Table1[[#This Row],[Adjusted_ULife_HP]]=2,VLOOKUP(Table1[[#This Row],[Item_Handpump]],[1]!Table2[#All],5,FALSE),0)</f>
        <v>0</v>
      </c>
      <c r="AJ138" s="25">
        <f>IF(Table1[[#This Row],[Adjusted_ULife_PF]]=2,VLOOKUP(Table1[[#This Row],[Item_Platform]],[1]!Table2[#All],5,FALSE),0)</f>
        <v>0</v>
      </c>
      <c r="AK138" s="25">
        <f>SUM(Table1[[#This Row],[yr 2_wl]:[yr 2_pf]])</f>
        <v>0</v>
      </c>
      <c r="AL138" s="25">
        <f>IF(Table1[[#This Row],[Years_Next_Rehab_Well]]=3,VLOOKUP(Table1[[#This Row],[Item_Rehab_WL]],[1]!Table2[#All],6,FALSE),0)</f>
        <v>0</v>
      </c>
      <c r="AM138" s="25">
        <f>IF(Table1[[#This Row],[Adjusted_ULife_HP]]=3,VLOOKUP(Table1[[#This Row],[Item_Handpump]],[1]!Table2[#All],6,FALSE),0)</f>
        <v>0</v>
      </c>
      <c r="AN138" s="25">
        <f>IF(Table1[[#This Row],[Adjusted_ULife_PF]]=3,VLOOKUP(Table1[[#This Row],[Item_Platform]],[1]!Table2[#All],6,FALSE),0)</f>
        <v>0</v>
      </c>
      <c r="AO138" s="25">
        <f>SUM(Table1[[#This Row],[yr 3_wl]:[yr 3_pf]])</f>
        <v>0</v>
      </c>
      <c r="AP138" s="25">
        <f>IF(Table1[[#This Row],[Years_Next_Rehab_Well]]=4,VLOOKUP(Table1[[#This Row],[Item_Rehab_WL]],[1]!Table2[#All],7,FALSE),0)</f>
        <v>0</v>
      </c>
      <c r="AQ138" s="25">
        <f>IF(Table1[[#This Row],[Adjusted_ULife_HP]]=4,VLOOKUP(Table1[[#This Row],[Item_Handpump]],[1]!Table2[#All],7,FALSE),0)</f>
        <v>0</v>
      </c>
      <c r="AR138" s="25">
        <f>IF(Table1[[#This Row],[Adjusted_ULife_PF]]=4,VLOOKUP(Table1[[#This Row],[Item_Platform]],[1]!Table2[#All],7,FALSE),0)</f>
        <v>0</v>
      </c>
      <c r="AS138" s="25">
        <f>SUM(Table1[[#This Row],[yr 4_wl]:[yr 4_pf]])</f>
        <v>0</v>
      </c>
      <c r="AT138" s="25">
        <f>IF(Table1[[#This Row],[Years_Next_Rehab_Well]]=5,VLOOKUP(Table1[[#This Row],[Item_Rehab_WL]],[1]!Table2[#All],8,FALSE),0)</f>
        <v>0</v>
      </c>
      <c r="AU138" s="25">
        <f>IF(Table1[[#This Row],[Adjusted_ULife_HP]]=5,VLOOKUP(Table1[[#This Row],[Item_Handpump]],[1]!Table2[#All],8,FALSE),0)</f>
        <v>0</v>
      </c>
      <c r="AV138" s="25">
        <f>IF(Table1[[#This Row],[Adjusted_ULife_PF]]=5,VLOOKUP(Table1[[#This Row],[Item_Platform]],[1]!Table2[#All],8,FALSE),0)</f>
        <v>0</v>
      </c>
      <c r="AW138" s="25">
        <f>SUM(Table1[[#This Row],[yr 5_wl]:[yr 5_pf]])</f>
        <v>0</v>
      </c>
      <c r="AX138" s="25">
        <f>IF(Table1[[#This Row],[Years_Next_Rehab_Well]]=6,VLOOKUP(Table1[[#This Row],[Item_Rehab_WL]],[1]!Table2[#All],9,FALSE),0)</f>
        <v>0</v>
      </c>
      <c r="AY138" s="25">
        <f>IF(Table1[[#This Row],[Adjusted_ULife_HP]]=6,VLOOKUP(Table1[[#This Row],[Item_Handpump]],[1]!Table2[#All],9,FALSE),0)</f>
        <v>0</v>
      </c>
      <c r="AZ138" s="25">
        <f>IF(Table1[[#This Row],[Adjusted_ULife_PF]]=6,VLOOKUP(Table1[[#This Row],[Item_Platform]],[1]!Table2[#All],9,FALSE),0)</f>
        <v>0</v>
      </c>
      <c r="BA138" s="25">
        <f>SUM(Table1[[#This Row],[yr 6_wl]:[yr 6_pf]])</f>
        <v>0</v>
      </c>
      <c r="BB138" s="25">
        <f>IF(Table1[[#This Row],[Years_Next_Rehab_Well]]=7,VLOOKUP(Table1[[#This Row],[Item_Rehab_WL]],[1]!Table2[#All],10,FALSE),0)</f>
        <v>0</v>
      </c>
      <c r="BC138" s="25">
        <f>IF(Table1[[#This Row],[Adjusted_ULife_HP]]=7,VLOOKUP(Table1[[#This Row],[Item_Handpump]],[1]!Table2[#All],10,FALSE),0)</f>
        <v>0</v>
      </c>
      <c r="BD138" s="25">
        <f>IF(Table1[[#This Row],[Adjusted_ULife_PF]]=7,VLOOKUP(Table1[[#This Row],[Item_Platform]],[1]!Table2[#All],10,FALSE),0)</f>
        <v>0</v>
      </c>
      <c r="BE138" s="25">
        <f>SUM(Table1[[#This Row],[yr 7_wl]:[yr 7_pf]])</f>
        <v>0</v>
      </c>
      <c r="BF138" s="25">
        <f>IF(Table1[[#This Row],[Years_Next_Rehab_Well]]=8,VLOOKUP(Table1[[#This Row],[Item_Rehab_WL]],[1]!Table2[#All],11,FALSE),0)</f>
        <v>0</v>
      </c>
      <c r="BG138" s="25">
        <f>IF(Table1[[#This Row],[Adjusted_ULife_HP]]=8,VLOOKUP(Table1[[#This Row],[Item_Handpump]],[1]!Table2[#All],11,FALSE),0)</f>
        <v>0</v>
      </c>
      <c r="BH138" s="25">
        <f>IF(Table1[[#This Row],[Adjusted_ULife_PF]]=8,VLOOKUP(Table1[[#This Row],[Item_Platform]],[1]!Table2[#All],11,FALSE),0)</f>
        <v>0</v>
      </c>
      <c r="BI138" s="25">
        <f>SUM(Table1[[#This Row],[yr 8_wl]:[yr 8_pf]])</f>
        <v>0</v>
      </c>
      <c r="BJ138" s="25">
        <f>IF(Table1[[#This Row],[Years_Next_Rehab_Well]]=9,VLOOKUP(Table1[[#This Row],[Item_Rehab_WL]],[1]!Table2[#All],12,FALSE),0)</f>
        <v>10167.955443984027</v>
      </c>
      <c r="BK138" s="25">
        <f>IF(Table1[[#This Row],[Adjusted_ULife_HP]]=9,VLOOKUP(Table1[[#This Row],[Item_Handpump]],[1]!Table2[#All],12,FALSE),0)</f>
        <v>0</v>
      </c>
      <c r="BL138" s="25">
        <f>IF(Table1[[#This Row],[Adjusted_ULife_PF]]=9,VLOOKUP(Table1[[#This Row],[Item_Platform]],[1]!Table2[#All],12,FALSE),0)</f>
        <v>4159.6181361752842</v>
      </c>
      <c r="BM138" s="25">
        <f>SUM(Table1[[#This Row],[yr 9_wl]:[yr 9_pf]])</f>
        <v>14327.573580159311</v>
      </c>
      <c r="BN138" s="25">
        <f>IF(Table1[[#This Row],[Years_Next_Rehab_Well]]=10,VLOOKUP(Table1[[#This Row],[Item_Rehab_WL]],[1]!Table2[#All],13,FALSE),0)</f>
        <v>0</v>
      </c>
      <c r="BO138" s="25">
        <f>IF(Table1[[#This Row],[Adjusted_ULife_HP]]=10,VLOOKUP(Table1[[#This Row],[Item_Handpump]],[1]!Table2[#All],13,FALSE),0)</f>
        <v>0</v>
      </c>
      <c r="BP138" s="25">
        <f>IF(Table1[[#This Row],[Adjusted_ULife_PF]]=10,VLOOKUP(Table1[[#This Row],[Item_Platform]],[1]!Table2[#All],13,FALSE),0)</f>
        <v>0</v>
      </c>
      <c r="BQ138" s="25">
        <f>SUM(Table1[[#This Row],[yr 10_wl]:[yr 10_pf]])</f>
        <v>0</v>
      </c>
      <c r="BR138" s="25">
        <f>IF(Table1[[#This Row],[Years_Next_Rehab_Well]]=11,VLOOKUP(Table1[[#This Row],[Item_Rehab_WL]],[1]!Table2[#All],14,FALSE),0)</f>
        <v>0</v>
      </c>
      <c r="BS138" s="25">
        <f>IF(Table1[[#This Row],[Adjusted_ULife_HP]]=11,VLOOKUP(Table1[[#This Row],[Item_Handpump]],[1]!Table2[#All],14,FALSE),0)</f>
        <v>0</v>
      </c>
      <c r="BT138" s="25">
        <f>IF(Table1[[#This Row],[Adjusted_ULife_PF]]=11,VLOOKUP(Table1[[#This Row],[Item_Platform]],[1]!Table2[#All],14,FALSE),0)</f>
        <v>0</v>
      </c>
      <c r="BU138" s="25">
        <f>SUM(Table1[[#This Row],[yr 11_wl]:[yr 11_pf]])</f>
        <v>0</v>
      </c>
      <c r="BV138" s="25">
        <f>IF(Table1[[#This Row],[Years_Next_Rehab_Well]]=12,VLOOKUP(Table1[[#This Row],[Item_Rehab_WL]],[1]!Table2[#All],15,FALSE),0)</f>
        <v>0</v>
      </c>
      <c r="BW138" s="25">
        <f>IF(Table1[[#This Row],[Adjusted_ULife_HP]]=12,VLOOKUP(Table1[[#This Row],[Item_Handpump]],[1]!Table2[#All],15,FALSE),0)</f>
        <v>0</v>
      </c>
      <c r="BX138" s="25">
        <f>IF(Table1[[#This Row],[Adjusted_ULife_PF]]=12,VLOOKUP(Table1[[#This Row],[Item_Platform]],[1]!Table2[#All],15,FALSE),0)</f>
        <v>0</v>
      </c>
      <c r="BY138" s="25">
        <f>SUM(Table1[[#This Row],[yr 12_wl]:[yr 12_pf]])</f>
        <v>0</v>
      </c>
      <c r="BZ138" s="25">
        <f>IF(Table1[[#This Row],[Years_Next_Rehab_Well]]=13,VLOOKUP(Table1[[#This Row],[Item_Rehab_WL]],[1]!Table2[#All],16,FALSE),0)</f>
        <v>0</v>
      </c>
      <c r="CA138" s="25">
        <f>IF(Table1[[#This Row],[Adjusted_ULife_HP]]=13,VLOOKUP(Table1[[#This Row],[Item_Handpump]],[1]!Table2[#All],16,FALSE),0)</f>
        <v>0</v>
      </c>
      <c r="CB138" s="25">
        <f>IF(Table1[[#This Row],[Adjusted_ULife_PF]]=13,VLOOKUP(Table1[[#This Row],[Item_Platform]],[1]!Table2[#All],16,FALSE),0)</f>
        <v>0</v>
      </c>
      <c r="CC138" s="25">
        <f>SUM(Table1[[#This Row],[yr 13_wl]:[yr 13_pf]])</f>
        <v>0</v>
      </c>
      <c r="CD138" s="12"/>
    </row>
    <row r="139" spans="1:82" s="11" customFormat="1" x14ac:dyDescent="0.25">
      <c r="A139" s="11" t="str">
        <f>IF([1]Input_monitoring_data!A135="","",[1]Input_monitoring_data!A135)</f>
        <v>rge6-tdk6-kb28</v>
      </c>
      <c r="B139" s="22" t="str">
        <f>[1]Input_monitoring_data!BH135</f>
        <v>Gambia</v>
      </c>
      <c r="C139" s="22" t="str">
        <f>[1]Input_monitoring_data!BI135</f>
        <v>Yaw Basoa</v>
      </c>
      <c r="D139" s="22" t="str">
        <f>[1]Input_monitoring_data!P135</f>
        <v>7.113595894687654</v>
      </c>
      <c r="E139" s="22" t="str">
        <f>[1]Input_monitoring_data!Q135</f>
        <v>-2.6258793546504897</v>
      </c>
      <c r="F139" s="22" t="str">
        <f>[1]Input_monitoring_data!V135</f>
        <v>Nana Antwi Agyei's Coaco Farm</v>
      </c>
      <c r="G139" s="23" t="str">
        <f>[1]Input_monitoring_data!U135</f>
        <v>Borehole</v>
      </c>
      <c r="H139" s="22">
        <f>[1]Input_monitoring_data!X135</f>
        <v>2003</v>
      </c>
      <c r="I139" s="21" t="str">
        <f>[1]Input_monitoring_data!AB135</f>
        <v>Borehole redevelopment</v>
      </c>
      <c r="J139" s="21">
        <f>[1]Input_monitoring_data!AC135</f>
        <v>0</v>
      </c>
      <c r="K139" s="23" t="str">
        <f>[1]Input_monitoring_data!W135</f>
        <v>AfriDev</v>
      </c>
      <c r="L139" s="22">
        <f>[1]Input_monitoring_data!X135</f>
        <v>2003</v>
      </c>
      <c r="M139" s="21">
        <f>IF([1]Input_monitoring_data!BL135&gt;'Point Sources_Asset_Register_'!L139,[1]Input_monitoring_data!BL135,"")</f>
        <v>2013</v>
      </c>
      <c r="N139" s="22" t="str">
        <f>[1]Input_monitoring_data!BQ135</f>
        <v>functional</v>
      </c>
      <c r="O139" s="22">
        <f>[1]Input_monitoring_data!AJ135</f>
        <v>0</v>
      </c>
      <c r="P139" s="23" t="s">
        <v>0</v>
      </c>
      <c r="Q139" s="22">
        <f>L139</f>
        <v>2003</v>
      </c>
      <c r="R139" s="21">
        <f>M139</f>
        <v>2013</v>
      </c>
      <c r="S139" s="20">
        <f>[1]Input_EUL_CRC_ERC!$B$17-Table1[[#This Row],[Year Installed_WL]]</f>
        <v>14</v>
      </c>
      <c r="T139" s="20">
        <f>[1]Input_EUL_CRC_ERC!$B$17-(IF(Table1[[#This Row],[Year Last_Rehab_WL ]]=0,Table1[[#This Row],[Year Installed_WL]],[1]Input_EUL_CRC_ERC!$B$17-Table1[[#This Row],[Year Last_Rehab_WL ]]))</f>
        <v>14</v>
      </c>
      <c r="U139" s="20">
        <f>(VLOOKUP(Table1[[#This Row],[Item_Rehab_WL]],[1]Input_EUL_CRC_ERC!$C$17:$E$27,2,FALSE)-Table1[[#This Row],[Last Rehab Age]])</f>
        <v>1</v>
      </c>
      <c r="V139" s="19">
        <f>[1]Input_EUL_CRC_ERC!$B$17-Table1[[#This Row],[Year Installed_HP]]</f>
        <v>14</v>
      </c>
      <c r="W139" s="19">
        <f>(VLOOKUP(Table1[[#This Row],[Item_Handpump]],[1]!Table2[#All],2,FALSE))-(IF(Table1[[#This Row],[Year Last_Rehab_HP]]="",Table1[[#This Row],[Current Age_Handpump]],[1]Input_EUL_CRC_ERC!$B$17-Table1[[#This Row],[Year Last_Rehab_HP]]))</f>
        <v>16</v>
      </c>
      <c r="X139" s="19">
        <f>[1]Input_EUL_CRC_ERC!$B$17-Table1[[#This Row],[Year Installed_PF]]</f>
        <v>14</v>
      </c>
      <c r="Y139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39" s="25">
        <f>IF(Table1[[#This Row],[Years_Next_Rehab_Well]]&lt;=0,VLOOKUP(Table1[[#This Row],[Item_Rehab_WL]],[1]!Table2[#All],3,FALSE),0)</f>
        <v>0</v>
      </c>
      <c r="AA139" s="18">
        <f>IF(Table1[[#This Row],[Adjusted_ULife_HP]]&lt;=0,VLOOKUP(Table1[[#This Row],[Item_Handpump]],[1]!Table2[#All],3,FALSE),0)</f>
        <v>0</v>
      </c>
      <c r="AB139" s="18">
        <f>IF(Table1[[#This Row],[Adjusted_ULife_PF]]&lt;=0,VLOOKUP(Table1[[#This Row],[Item_Platform]],[1]!Table2[#All],3,FALSE),0)</f>
        <v>0</v>
      </c>
      <c r="AC139" s="18">
        <f>SUM(Table1[[#This Row],[current yr_wl]:[current yr_pf]])</f>
        <v>0</v>
      </c>
      <c r="AD139" s="25">
        <f>IF(Table1[[#This Row],[Years_Next_Rehab_Well]]=1,VLOOKUP(Table1[[#This Row],[Item_Rehab_WL]],[1]!Table2[#All],4,FALSE),0)</f>
        <v>4106.666666666667</v>
      </c>
      <c r="AE139" s="25">
        <f>IF(Table1[[#This Row],[Adjusted_ULife_HP]]=1,VLOOKUP(Table1[[#This Row],[Item_Handpump]],[1]!Table2[#All],4,FALSE),0)</f>
        <v>0</v>
      </c>
      <c r="AF139" s="25">
        <f>IF(Table1[[#This Row],[Adjusted_ULife_PF]]=1,VLOOKUP(Table1[[#This Row],[Item_Platform]],[1]!Table2[#All],4,FALSE),0)</f>
        <v>0</v>
      </c>
      <c r="AG139" s="25">
        <f>SUM(Table1[[#This Row],[yr 1_wl]:[yr 1_pf]])</f>
        <v>4106.666666666667</v>
      </c>
      <c r="AH139" s="25">
        <f>IF(Table1[[#This Row],[Years_Next_Rehab_Well]]=2,VLOOKUP(Table1[[#This Row],[Item_Rehab_WL]],[1]!Table2[#All],5,FALSE),0)</f>
        <v>0</v>
      </c>
      <c r="AI139" s="25">
        <f>IF(Table1[[#This Row],[Adjusted_ULife_HP]]=2,VLOOKUP(Table1[[#This Row],[Item_Handpump]],[1]!Table2[#All],5,FALSE),0)</f>
        <v>0</v>
      </c>
      <c r="AJ139" s="25">
        <f>IF(Table1[[#This Row],[Adjusted_ULife_PF]]=2,VLOOKUP(Table1[[#This Row],[Item_Platform]],[1]!Table2[#All],5,FALSE),0)</f>
        <v>0</v>
      </c>
      <c r="AK139" s="25">
        <f>SUM(Table1[[#This Row],[yr 2_wl]:[yr 2_pf]])</f>
        <v>0</v>
      </c>
      <c r="AL139" s="25">
        <f>IF(Table1[[#This Row],[Years_Next_Rehab_Well]]=3,VLOOKUP(Table1[[#This Row],[Item_Rehab_WL]],[1]!Table2[#All],6,FALSE),0)</f>
        <v>0</v>
      </c>
      <c r="AM139" s="25">
        <f>IF(Table1[[#This Row],[Adjusted_ULife_HP]]=3,VLOOKUP(Table1[[#This Row],[Item_Handpump]],[1]!Table2[#All],6,FALSE),0)</f>
        <v>0</v>
      </c>
      <c r="AN139" s="25">
        <f>IF(Table1[[#This Row],[Adjusted_ULife_PF]]=3,VLOOKUP(Table1[[#This Row],[Item_Platform]],[1]!Table2[#All],6,FALSE),0)</f>
        <v>0</v>
      </c>
      <c r="AO139" s="25">
        <f>SUM(Table1[[#This Row],[yr 3_wl]:[yr 3_pf]])</f>
        <v>0</v>
      </c>
      <c r="AP139" s="25">
        <f>IF(Table1[[#This Row],[Years_Next_Rehab_Well]]=4,VLOOKUP(Table1[[#This Row],[Item_Rehab_WL]],[1]!Table2[#All],7,FALSE),0)</f>
        <v>0</v>
      </c>
      <c r="AQ139" s="25">
        <f>IF(Table1[[#This Row],[Adjusted_ULife_HP]]=4,VLOOKUP(Table1[[#This Row],[Item_Handpump]],[1]!Table2[#All],7,FALSE),0)</f>
        <v>0</v>
      </c>
      <c r="AR139" s="25">
        <f>IF(Table1[[#This Row],[Adjusted_ULife_PF]]=4,VLOOKUP(Table1[[#This Row],[Item_Platform]],[1]!Table2[#All],7,FALSE),0)</f>
        <v>0</v>
      </c>
      <c r="AS139" s="25">
        <f>SUM(Table1[[#This Row],[yr 4_wl]:[yr 4_pf]])</f>
        <v>0</v>
      </c>
      <c r="AT139" s="25">
        <f>IF(Table1[[#This Row],[Years_Next_Rehab_Well]]=5,VLOOKUP(Table1[[#This Row],[Item_Rehab_WL]],[1]!Table2[#All],8,FALSE),0)</f>
        <v>0</v>
      </c>
      <c r="AU139" s="25">
        <f>IF(Table1[[#This Row],[Adjusted_ULife_HP]]=5,VLOOKUP(Table1[[#This Row],[Item_Handpump]],[1]!Table2[#All],8,FALSE),0)</f>
        <v>0</v>
      </c>
      <c r="AV139" s="25">
        <f>IF(Table1[[#This Row],[Adjusted_ULife_PF]]=5,VLOOKUP(Table1[[#This Row],[Item_Platform]],[1]!Table2[#All],8,FALSE),0)</f>
        <v>0</v>
      </c>
      <c r="AW139" s="25">
        <f>SUM(Table1[[#This Row],[yr 5_wl]:[yr 5_pf]])</f>
        <v>0</v>
      </c>
      <c r="AX139" s="25">
        <f>IF(Table1[[#This Row],[Years_Next_Rehab_Well]]=6,VLOOKUP(Table1[[#This Row],[Item_Rehab_WL]],[1]!Table2[#All],9,FALSE),0)</f>
        <v>0</v>
      </c>
      <c r="AY139" s="25">
        <f>IF(Table1[[#This Row],[Adjusted_ULife_HP]]=6,VLOOKUP(Table1[[#This Row],[Item_Handpump]],[1]!Table2[#All],9,FALSE),0)</f>
        <v>0</v>
      </c>
      <c r="AZ139" s="25">
        <f>IF(Table1[[#This Row],[Adjusted_ULife_PF]]=6,VLOOKUP(Table1[[#This Row],[Item_Platform]],[1]!Table2[#All],9,FALSE),0)</f>
        <v>2960.7340277760022</v>
      </c>
      <c r="BA139" s="25">
        <f>SUM(Table1[[#This Row],[yr 6_wl]:[yr 6_pf]])</f>
        <v>2960.7340277760022</v>
      </c>
      <c r="BB139" s="25">
        <f>IF(Table1[[#This Row],[Years_Next_Rehab_Well]]=7,VLOOKUP(Table1[[#This Row],[Item_Rehab_WL]],[1]!Table2[#All],10,FALSE),0)</f>
        <v>0</v>
      </c>
      <c r="BC139" s="25">
        <f>IF(Table1[[#This Row],[Adjusted_ULife_HP]]=7,VLOOKUP(Table1[[#This Row],[Item_Handpump]],[1]!Table2[#All],10,FALSE),0)</f>
        <v>0</v>
      </c>
      <c r="BD139" s="25">
        <f>IF(Table1[[#This Row],[Adjusted_ULife_PF]]=7,VLOOKUP(Table1[[#This Row],[Item_Platform]],[1]!Table2[#All],10,FALSE),0)</f>
        <v>0</v>
      </c>
      <c r="BE139" s="25">
        <f>SUM(Table1[[#This Row],[yr 7_wl]:[yr 7_pf]])</f>
        <v>0</v>
      </c>
      <c r="BF139" s="25">
        <f>IF(Table1[[#This Row],[Years_Next_Rehab_Well]]=8,VLOOKUP(Table1[[#This Row],[Item_Rehab_WL]],[1]!Table2[#All],11,FALSE),0)</f>
        <v>0</v>
      </c>
      <c r="BG139" s="25">
        <f>IF(Table1[[#This Row],[Adjusted_ULife_HP]]=8,VLOOKUP(Table1[[#This Row],[Item_Handpump]],[1]!Table2[#All],11,FALSE),0)</f>
        <v>0</v>
      </c>
      <c r="BH139" s="25">
        <f>IF(Table1[[#This Row],[Adjusted_ULife_PF]]=8,VLOOKUP(Table1[[#This Row],[Item_Platform]],[1]!Table2[#All],11,FALSE),0)</f>
        <v>0</v>
      </c>
      <c r="BI139" s="25">
        <f>SUM(Table1[[#This Row],[yr 8_wl]:[yr 8_pf]])</f>
        <v>0</v>
      </c>
      <c r="BJ139" s="25">
        <f>IF(Table1[[#This Row],[Years_Next_Rehab_Well]]=9,VLOOKUP(Table1[[#This Row],[Item_Rehab_WL]],[1]!Table2[#All],12,FALSE),0)</f>
        <v>0</v>
      </c>
      <c r="BK139" s="25">
        <f>IF(Table1[[#This Row],[Adjusted_ULife_HP]]=9,VLOOKUP(Table1[[#This Row],[Item_Handpump]],[1]!Table2[#All],12,FALSE),0)</f>
        <v>0</v>
      </c>
      <c r="BL139" s="25">
        <f>IF(Table1[[#This Row],[Adjusted_ULife_PF]]=9,VLOOKUP(Table1[[#This Row],[Item_Platform]],[1]!Table2[#All],12,FALSE),0)</f>
        <v>0</v>
      </c>
      <c r="BM139" s="25">
        <f>SUM(Table1[[#This Row],[yr 9_wl]:[yr 9_pf]])</f>
        <v>0</v>
      </c>
      <c r="BN139" s="25">
        <f>IF(Table1[[#This Row],[Years_Next_Rehab_Well]]=10,VLOOKUP(Table1[[#This Row],[Item_Rehab_WL]],[1]!Table2[#All],13,FALSE),0)</f>
        <v>0</v>
      </c>
      <c r="BO139" s="25">
        <f>IF(Table1[[#This Row],[Adjusted_ULife_HP]]=10,VLOOKUP(Table1[[#This Row],[Item_Handpump]],[1]!Table2[#All],13,FALSE),0)</f>
        <v>0</v>
      </c>
      <c r="BP139" s="25">
        <f>IF(Table1[[#This Row],[Adjusted_ULife_PF]]=10,VLOOKUP(Table1[[#This Row],[Item_Platform]],[1]!Table2[#All],13,FALSE),0)</f>
        <v>0</v>
      </c>
      <c r="BQ139" s="25">
        <f>SUM(Table1[[#This Row],[yr 10_wl]:[yr 10_pf]])</f>
        <v>0</v>
      </c>
      <c r="BR139" s="25">
        <f>IF(Table1[[#This Row],[Years_Next_Rehab_Well]]=11,VLOOKUP(Table1[[#This Row],[Item_Rehab_WL]],[1]!Table2[#All],14,FALSE),0)</f>
        <v>0</v>
      </c>
      <c r="BS139" s="25">
        <f>IF(Table1[[#This Row],[Adjusted_ULife_HP]]=11,VLOOKUP(Table1[[#This Row],[Item_Handpump]],[1]!Table2[#All],14,FALSE),0)</f>
        <v>0</v>
      </c>
      <c r="BT139" s="25">
        <f>IF(Table1[[#This Row],[Adjusted_ULife_PF]]=11,VLOOKUP(Table1[[#This Row],[Item_Platform]],[1]!Table2[#All],14,FALSE),0)</f>
        <v>0</v>
      </c>
      <c r="BU139" s="25">
        <f>SUM(Table1[[#This Row],[yr 11_wl]:[yr 11_pf]])</f>
        <v>0</v>
      </c>
      <c r="BV139" s="25">
        <f>IF(Table1[[#This Row],[Years_Next_Rehab_Well]]=12,VLOOKUP(Table1[[#This Row],[Item_Rehab_WL]],[1]!Table2[#All],15,FALSE),0)</f>
        <v>0</v>
      </c>
      <c r="BW139" s="25">
        <f>IF(Table1[[#This Row],[Adjusted_ULife_HP]]=12,VLOOKUP(Table1[[#This Row],[Item_Handpump]],[1]!Table2[#All],15,FALSE),0)</f>
        <v>0</v>
      </c>
      <c r="BX139" s="25">
        <f>IF(Table1[[#This Row],[Adjusted_ULife_PF]]=12,VLOOKUP(Table1[[#This Row],[Item_Platform]],[1]!Table2[#All],15,FALSE),0)</f>
        <v>0</v>
      </c>
      <c r="BY139" s="25">
        <f>SUM(Table1[[#This Row],[yr 12_wl]:[yr 12_pf]])</f>
        <v>0</v>
      </c>
      <c r="BZ139" s="25">
        <f>IF(Table1[[#This Row],[Years_Next_Rehab_Well]]=13,VLOOKUP(Table1[[#This Row],[Item_Rehab_WL]],[1]!Table2[#All],16,FALSE),0)</f>
        <v>0</v>
      </c>
      <c r="CA139" s="25">
        <f>IF(Table1[[#This Row],[Adjusted_ULife_HP]]=13,VLOOKUP(Table1[[#This Row],[Item_Handpump]],[1]!Table2[#All],16,FALSE),0)</f>
        <v>0</v>
      </c>
      <c r="CB139" s="25">
        <f>IF(Table1[[#This Row],[Adjusted_ULife_PF]]=13,VLOOKUP(Table1[[#This Row],[Item_Platform]],[1]!Table2[#All],16,FALSE),0)</f>
        <v>0</v>
      </c>
      <c r="CC139" s="25">
        <f>SUM(Table1[[#This Row],[yr 13_wl]:[yr 13_pf]])</f>
        <v>0</v>
      </c>
      <c r="CD139" s="12"/>
    </row>
    <row r="140" spans="1:82" s="11" customFormat="1" x14ac:dyDescent="0.25">
      <c r="A140" s="11" t="str">
        <f>IF([1]Input_monitoring_data!A136="","",[1]Input_monitoring_data!A136)</f>
        <v>rx4q-0n7t-ch9n</v>
      </c>
      <c r="B140" s="22" t="str">
        <f>[1]Input_monitoring_data!BH136</f>
        <v>Goamu</v>
      </c>
      <c r="C140" s="22" t="str">
        <f>[1]Input_monitoring_data!BI136</f>
        <v>Kojo Konongo</v>
      </c>
      <c r="D140" s="22" t="str">
        <f>[1]Input_monitoring_data!P136</f>
        <v>7.007558281470924</v>
      </c>
      <c r="E140" s="22" t="str">
        <f>[1]Input_monitoring_data!Q136</f>
        <v>-2.474507360609421</v>
      </c>
      <c r="F140" s="22" t="str">
        <f>[1]Input_monitoring_data!V136</f>
        <v>Few Meters From Kojo Konongo's House</v>
      </c>
      <c r="G140" s="23" t="str">
        <f>[1]Input_monitoring_data!U136</f>
        <v>Hand dug well</v>
      </c>
      <c r="H140" s="22">
        <f>[1]Input_monitoring_data!X136</f>
        <v>2012</v>
      </c>
      <c r="I140" s="21" t="str">
        <f>[1]Input_monitoring_data!AB136</f>
        <v>Borehole redevelopment</v>
      </c>
      <c r="J140" s="21">
        <f>[1]Input_monitoring_data!AC136</f>
        <v>0</v>
      </c>
      <c r="K140" s="23" t="str">
        <f>[1]Input_monitoring_data!W136</f>
        <v>Nira AF-85</v>
      </c>
      <c r="L140" s="22">
        <f>[1]Input_monitoring_data!X136</f>
        <v>2012</v>
      </c>
      <c r="M140" s="21">
        <f>IF([1]Input_monitoring_data!BL136&gt;'Point Sources_Asset_Register_'!L140,[1]Input_monitoring_data!BL136,"")</f>
        <v>2016</v>
      </c>
      <c r="N140" s="22" t="str">
        <f>[1]Input_monitoring_data!BQ136</f>
        <v>partially functional</v>
      </c>
      <c r="O140" s="22">
        <f>[1]Input_monitoring_data!AJ136</f>
        <v>0</v>
      </c>
      <c r="P140" s="23" t="s">
        <v>0</v>
      </c>
      <c r="Q140" s="22">
        <f>L140</f>
        <v>2012</v>
      </c>
      <c r="R140" s="21">
        <f>M140</f>
        <v>2016</v>
      </c>
      <c r="S140" s="20">
        <f>[1]Input_EUL_CRC_ERC!$B$17-Table1[[#This Row],[Year Installed_WL]]</f>
        <v>5</v>
      </c>
      <c r="T140" s="20">
        <f>[1]Input_EUL_CRC_ERC!$B$17-(IF(Table1[[#This Row],[Year Last_Rehab_WL ]]=0,Table1[[#This Row],[Year Installed_WL]],[1]Input_EUL_CRC_ERC!$B$17-Table1[[#This Row],[Year Last_Rehab_WL ]]))</f>
        <v>5</v>
      </c>
      <c r="U140" s="20">
        <f>(VLOOKUP(Table1[[#This Row],[Item_Rehab_WL]],[1]Input_EUL_CRC_ERC!$C$17:$E$27,2,FALSE)-Table1[[#This Row],[Last Rehab Age]])</f>
        <v>10</v>
      </c>
      <c r="V140" s="26">
        <f>[1]Input_EUL_CRC_ERC!$B$17-Table1[[#This Row],[Year Installed_HP]]</f>
        <v>5</v>
      </c>
      <c r="W140" s="26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40" s="26">
        <f>[1]Input_EUL_CRC_ERC!$B$17-Table1[[#This Row],[Year Installed_PF]]</f>
        <v>5</v>
      </c>
      <c r="Y140" s="26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40" s="25">
        <f>IF(Table1[[#This Row],[Years_Next_Rehab_Well]]&lt;=0,VLOOKUP(Table1[[#This Row],[Item_Rehab_WL]],[1]!Table2[#All],3,FALSE),0)</f>
        <v>0</v>
      </c>
      <c r="AA140" s="25">
        <f>IF(Table1[[#This Row],[Adjusted_ULife_HP]]&lt;=0,VLOOKUP(Table1[[#This Row],[Item_Handpump]],[1]!Table2[#All],3,FALSE),0)</f>
        <v>0</v>
      </c>
      <c r="AB140" s="25">
        <f>IF(Table1[[#This Row],[Adjusted_ULife_PF]]&lt;=0,VLOOKUP(Table1[[#This Row],[Item_Platform]],[1]!Table2[#All],3,FALSE),0)</f>
        <v>0</v>
      </c>
      <c r="AC140" s="25">
        <f>SUM(Table1[[#This Row],[current yr_wl]:[current yr_pf]])</f>
        <v>0</v>
      </c>
      <c r="AD140" s="25">
        <f>IF(Table1[[#This Row],[Years_Next_Rehab_Well]]=1,VLOOKUP(Table1[[#This Row],[Item_Rehab_WL]],[1]!Table2[#All],4,FALSE),0)</f>
        <v>0</v>
      </c>
      <c r="AE140" s="25">
        <f>IF(Table1[[#This Row],[Adjusted_ULife_HP]]=1,VLOOKUP(Table1[[#This Row],[Item_Handpump]],[1]!Table2[#All],4,FALSE),0)</f>
        <v>0</v>
      </c>
      <c r="AF140" s="25">
        <f>IF(Table1[[#This Row],[Adjusted_ULife_PF]]=1,VLOOKUP(Table1[[#This Row],[Item_Platform]],[1]!Table2[#All],4,FALSE),0)</f>
        <v>0</v>
      </c>
      <c r="AG140" s="25">
        <f>SUM(Table1[[#This Row],[yr 1_wl]:[yr 1_pf]])</f>
        <v>0</v>
      </c>
      <c r="AH140" s="25">
        <f>IF(Table1[[#This Row],[Years_Next_Rehab_Well]]=2,VLOOKUP(Table1[[#This Row],[Item_Rehab_WL]],[1]!Table2[#All],5,FALSE),0)</f>
        <v>0</v>
      </c>
      <c r="AI140" s="25">
        <f>IF(Table1[[#This Row],[Adjusted_ULife_HP]]=2,VLOOKUP(Table1[[#This Row],[Item_Handpump]],[1]!Table2[#All],5,FALSE),0)</f>
        <v>0</v>
      </c>
      <c r="AJ140" s="25">
        <f>IF(Table1[[#This Row],[Adjusted_ULife_PF]]=2,VLOOKUP(Table1[[#This Row],[Item_Platform]],[1]!Table2[#All],5,FALSE),0)</f>
        <v>0</v>
      </c>
      <c r="AK140" s="25">
        <f>SUM(Table1[[#This Row],[yr 2_wl]:[yr 2_pf]])</f>
        <v>0</v>
      </c>
      <c r="AL140" s="25">
        <f>IF(Table1[[#This Row],[Years_Next_Rehab_Well]]=3,VLOOKUP(Table1[[#This Row],[Item_Rehab_WL]],[1]!Table2[#All],6,FALSE),0)</f>
        <v>0</v>
      </c>
      <c r="AM140" s="25">
        <f>IF(Table1[[#This Row],[Adjusted_ULife_HP]]=3,VLOOKUP(Table1[[#This Row],[Item_Handpump]],[1]!Table2[#All],6,FALSE),0)</f>
        <v>0</v>
      </c>
      <c r="AN140" s="25">
        <f>IF(Table1[[#This Row],[Adjusted_ULife_PF]]=3,VLOOKUP(Table1[[#This Row],[Item_Platform]],[1]!Table2[#All],6,FALSE),0)</f>
        <v>0</v>
      </c>
      <c r="AO140" s="25">
        <f>SUM(Table1[[#This Row],[yr 3_wl]:[yr 3_pf]])</f>
        <v>0</v>
      </c>
      <c r="AP140" s="25">
        <f>IF(Table1[[#This Row],[Years_Next_Rehab_Well]]=4,VLOOKUP(Table1[[#This Row],[Item_Rehab_WL]],[1]!Table2[#All],7,FALSE),0)</f>
        <v>0</v>
      </c>
      <c r="AQ140" s="25">
        <f>IF(Table1[[#This Row],[Adjusted_ULife_HP]]=4,VLOOKUP(Table1[[#This Row],[Item_Handpump]],[1]!Table2[#All],7,FALSE),0)</f>
        <v>0</v>
      </c>
      <c r="AR140" s="25">
        <f>IF(Table1[[#This Row],[Adjusted_ULife_PF]]=4,VLOOKUP(Table1[[#This Row],[Item_Platform]],[1]!Table2[#All],7,FALSE),0)</f>
        <v>0</v>
      </c>
      <c r="AS140" s="25">
        <f>SUM(Table1[[#This Row],[yr 4_wl]:[yr 4_pf]])</f>
        <v>0</v>
      </c>
      <c r="AT140" s="25">
        <f>IF(Table1[[#This Row],[Years_Next_Rehab_Well]]=5,VLOOKUP(Table1[[#This Row],[Item_Rehab_WL]],[1]!Table2[#All],8,FALSE),0)</f>
        <v>0</v>
      </c>
      <c r="AU140" s="25">
        <f>IF(Table1[[#This Row],[Adjusted_ULife_HP]]=5,VLOOKUP(Table1[[#This Row],[Item_Handpump]],[1]!Table2[#All],8,FALSE),0)</f>
        <v>0</v>
      </c>
      <c r="AV140" s="25">
        <f>IF(Table1[[#This Row],[Adjusted_ULife_PF]]=5,VLOOKUP(Table1[[#This Row],[Item_Platform]],[1]!Table2[#All],8,FALSE),0)</f>
        <v>0</v>
      </c>
      <c r="AW140" s="25">
        <f>SUM(Table1[[#This Row],[yr 5_wl]:[yr 5_pf]])</f>
        <v>0</v>
      </c>
      <c r="AX140" s="25">
        <f>IF(Table1[[#This Row],[Years_Next_Rehab_Well]]=6,VLOOKUP(Table1[[#This Row],[Item_Rehab_WL]],[1]!Table2[#All],9,FALSE),0)</f>
        <v>0</v>
      </c>
      <c r="AY140" s="25">
        <f>IF(Table1[[#This Row],[Adjusted_ULife_HP]]=6,VLOOKUP(Table1[[#This Row],[Item_Handpump]],[1]!Table2[#All],9,FALSE),0)</f>
        <v>0</v>
      </c>
      <c r="AZ140" s="25">
        <f>IF(Table1[[#This Row],[Adjusted_ULife_PF]]=6,VLOOKUP(Table1[[#This Row],[Item_Platform]],[1]!Table2[#All],9,FALSE),0)</f>
        <v>0</v>
      </c>
      <c r="BA140" s="25">
        <f>SUM(Table1[[#This Row],[yr 6_wl]:[yr 6_pf]])</f>
        <v>0</v>
      </c>
      <c r="BB140" s="25">
        <f>IF(Table1[[#This Row],[Years_Next_Rehab_Well]]=7,VLOOKUP(Table1[[#This Row],[Item_Rehab_WL]],[1]!Table2[#All],10,FALSE),0)</f>
        <v>0</v>
      </c>
      <c r="BC140" s="25">
        <f>IF(Table1[[#This Row],[Adjusted_ULife_HP]]=7,VLOOKUP(Table1[[#This Row],[Item_Handpump]],[1]!Table2[#All],10,FALSE),0)</f>
        <v>0</v>
      </c>
      <c r="BD140" s="25">
        <f>IF(Table1[[#This Row],[Adjusted_ULife_PF]]=7,VLOOKUP(Table1[[#This Row],[Item_Platform]],[1]!Table2[#All],10,FALSE),0)</f>
        <v>0</v>
      </c>
      <c r="BE140" s="25">
        <f>SUM(Table1[[#This Row],[yr 7_wl]:[yr 7_pf]])</f>
        <v>0</v>
      </c>
      <c r="BF140" s="25">
        <f>IF(Table1[[#This Row],[Years_Next_Rehab_Well]]=8,VLOOKUP(Table1[[#This Row],[Item_Rehab_WL]],[1]!Table2[#All],11,FALSE),0)</f>
        <v>0</v>
      </c>
      <c r="BG140" s="25">
        <f>IF(Table1[[#This Row],[Adjusted_ULife_HP]]=8,VLOOKUP(Table1[[#This Row],[Item_Handpump]],[1]!Table2[#All],11,FALSE),0)</f>
        <v>0</v>
      </c>
      <c r="BH140" s="25">
        <f>IF(Table1[[#This Row],[Adjusted_ULife_PF]]=8,VLOOKUP(Table1[[#This Row],[Item_Platform]],[1]!Table2[#All],11,FALSE),0)</f>
        <v>0</v>
      </c>
      <c r="BI140" s="25">
        <f>SUM(Table1[[#This Row],[yr 8_wl]:[yr 8_pf]])</f>
        <v>0</v>
      </c>
      <c r="BJ140" s="25">
        <f>IF(Table1[[#This Row],[Years_Next_Rehab_Well]]=9,VLOOKUP(Table1[[#This Row],[Item_Rehab_WL]],[1]!Table2[#All],12,FALSE),0)</f>
        <v>0</v>
      </c>
      <c r="BK140" s="25">
        <f>IF(Table1[[#This Row],[Adjusted_ULife_HP]]=9,VLOOKUP(Table1[[#This Row],[Item_Handpump]],[1]!Table2[#All],12,FALSE),0)</f>
        <v>0</v>
      </c>
      <c r="BL140" s="25">
        <f>IF(Table1[[#This Row],[Adjusted_ULife_PF]]=9,VLOOKUP(Table1[[#This Row],[Item_Platform]],[1]!Table2[#All],12,FALSE),0)</f>
        <v>4159.6181361752842</v>
      </c>
      <c r="BM140" s="25">
        <f>SUM(Table1[[#This Row],[yr 9_wl]:[yr 9_pf]])</f>
        <v>4159.6181361752842</v>
      </c>
      <c r="BN140" s="25">
        <f>IF(Table1[[#This Row],[Years_Next_Rehab_Well]]=10,VLOOKUP(Table1[[#This Row],[Item_Rehab_WL]],[1]!Table2[#All],13,FALSE),0)</f>
        <v>11388.110097262112</v>
      </c>
      <c r="BO140" s="25">
        <f>IF(Table1[[#This Row],[Adjusted_ULife_HP]]=10,VLOOKUP(Table1[[#This Row],[Item_Handpump]],[1]!Table2[#All],13,FALSE),0)</f>
        <v>0</v>
      </c>
      <c r="BP140" s="25">
        <f>IF(Table1[[#This Row],[Adjusted_ULife_PF]]=10,VLOOKUP(Table1[[#This Row],[Item_Platform]],[1]!Table2[#All],13,FALSE),0)</f>
        <v>0</v>
      </c>
      <c r="BQ140" s="25">
        <f>SUM(Table1[[#This Row],[yr 10_wl]:[yr 10_pf]])</f>
        <v>11388.110097262112</v>
      </c>
      <c r="BR140" s="25">
        <f>IF(Table1[[#This Row],[Years_Next_Rehab_Well]]=11,VLOOKUP(Table1[[#This Row],[Item_Rehab_WL]],[1]!Table2[#All],14,FALSE),0)</f>
        <v>0</v>
      </c>
      <c r="BS140" s="25">
        <f>IF(Table1[[#This Row],[Adjusted_ULife_HP]]=11,VLOOKUP(Table1[[#This Row],[Item_Handpump]],[1]!Table2[#All],14,FALSE),0)</f>
        <v>0</v>
      </c>
      <c r="BT140" s="25">
        <f>IF(Table1[[#This Row],[Adjusted_ULife_PF]]=11,VLOOKUP(Table1[[#This Row],[Item_Platform]],[1]!Table2[#All],14,FALSE),0)</f>
        <v>0</v>
      </c>
      <c r="BU140" s="25">
        <f>SUM(Table1[[#This Row],[yr 11_wl]:[yr 11_pf]])</f>
        <v>0</v>
      </c>
      <c r="BV140" s="25">
        <f>IF(Table1[[#This Row],[Years_Next_Rehab_Well]]=12,VLOOKUP(Table1[[#This Row],[Item_Rehab_WL]],[1]!Table2[#All],15,FALSE),0)</f>
        <v>0</v>
      </c>
      <c r="BW140" s="25">
        <f>IF(Table1[[#This Row],[Adjusted_ULife_HP]]=12,VLOOKUP(Table1[[#This Row],[Item_Handpump]],[1]!Table2[#All],15,FALSE),0)</f>
        <v>0</v>
      </c>
      <c r="BX140" s="25">
        <f>IF(Table1[[#This Row],[Adjusted_ULife_PF]]=12,VLOOKUP(Table1[[#This Row],[Item_Platform]],[1]!Table2[#All],15,FALSE),0)</f>
        <v>0</v>
      </c>
      <c r="BY140" s="25">
        <f>SUM(Table1[[#This Row],[yr 12_wl]:[yr 12_pf]])</f>
        <v>0</v>
      </c>
      <c r="BZ140" s="25">
        <f>IF(Table1[[#This Row],[Years_Next_Rehab_Well]]=13,VLOOKUP(Table1[[#This Row],[Item_Rehab_WL]],[1]!Table2[#All],16,FALSE),0)</f>
        <v>0</v>
      </c>
      <c r="CA140" s="25">
        <f>IF(Table1[[#This Row],[Adjusted_ULife_HP]]=13,VLOOKUP(Table1[[#This Row],[Item_Handpump]],[1]!Table2[#All],16,FALSE),0)</f>
        <v>0</v>
      </c>
      <c r="CB140" s="25">
        <f>IF(Table1[[#This Row],[Adjusted_ULife_PF]]=13,VLOOKUP(Table1[[#This Row],[Item_Platform]],[1]!Table2[#All],16,FALSE),0)</f>
        <v>0</v>
      </c>
      <c r="CC140" s="25">
        <f>SUM(Table1[[#This Row],[yr 13_wl]:[yr 13_pf]])</f>
        <v>0</v>
      </c>
      <c r="CD140" s="12"/>
    </row>
    <row r="141" spans="1:82" s="11" customFormat="1" x14ac:dyDescent="0.25">
      <c r="A141" s="11" t="str">
        <f>IF([1]Input_monitoring_data!A137="","",[1]Input_monitoring_data!A137)</f>
        <v>s1xu-59ha-56gd</v>
      </c>
      <c r="B141" s="22" t="str">
        <f>[1]Input_monitoring_data!BH137</f>
        <v>Ntotroso</v>
      </c>
      <c r="C141" s="22" t="str">
        <f>[1]Input_monitoring_data!BI137</f>
        <v>Ntotroso</v>
      </c>
      <c r="D141" s="22" t="str">
        <f>[1]Input_monitoring_data!P137</f>
        <v>7.062010212324652</v>
      </c>
      <c r="E141" s="22" t="str">
        <f>[1]Input_monitoring_data!Q137</f>
        <v>-2.3125433205594312</v>
      </c>
      <c r="F141" s="22" t="str">
        <f>[1]Input_monitoring_data!V137</f>
        <v>Police Quarters</v>
      </c>
      <c r="G141" s="23" t="str">
        <f>[1]Input_monitoring_data!U137</f>
        <v>Borehole</v>
      </c>
      <c r="H141" s="22">
        <f>[1]Input_monitoring_data!X137</f>
        <v>2012</v>
      </c>
      <c r="I141" s="21" t="str">
        <f>[1]Input_monitoring_data!AB137</f>
        <v>Borehole redevelopment</v>
      </c>
      <c r="J141" s="21">
        <f>[1]Input_monitoring_data!AC137</f>
        <v>0</v>
      </c>
      <c r="K141" s="23" t="str">
        <f>[1]Input_monitoring_data!W137</f>
        <v>AfriDev</v>
      </c>
      <c r="L141" s="22">
        <f>[1]Input_monitoring_data!X137</f>
        <v>2012</v>
      </c>
      <c r="M141" s="21" t="str">
        <f>IF([1]Input_monitoring_data!BL137&gt;'Point Sources_Asset_Register_'!L141,[1]Input_monitoring_data!BL137,"")</f>
        <v/>
      </c>
      <c r="N141" s="22" t="str">
        <f>[1]Input_monitoring_data!BQ137</f>
        <v>not functional</v>
      </c>
      <c r="O141" s="22">
        <f>[1]Input_monitoring_data!AJ137</f>
        <v>0</v>
      </c>
      <c r="P141" s="23" t="s">
        <v>0</v>
      </c>
      <c r="Q141" s="22">
        <f>L141</f>
        <v>2012</v>
      </c>
      <c r="R141" s="21" t="str">
        <f>M141</f>
        <v/>
      </c>
      <c r="S141" s="20">
        <f>[1]Input_EUL_CRC_ERC!$B$17-Table1[[#This Row],[Year Installed_WL]]</f>
        <v>5</v>
      </c>
      <c r="T141" s="20">
        <f>[1]Input_EUL_CRC_ERC!$B$17-(IF(Table1[[#This Row],[Year Last_Rehab_WL ]]=0,Table1[[#This Row],[Year Installed_WL]],[1]Input_EUL_CRC_ERC!$B$17-Table1[[#This Row],[Year Last_Rehab_WL ]]))</f>
        <v>5</v>
      </c>
      <c r="U141" s="20">
        <f>(VLOOKUP(Table1[[#This Row],[Item_Rehab_WL]],[1]Input_EUL_CRC_ERC!$C$17:$E$27,2,FALSE)-Table1[[#This Row],[Last Rehab Age]])</f>
        <v>10</v>
      </c>
      <c r="V141" s="26">
        <f>[1]Input_EUL_CRC_ERC!$B$17-Table1[[#This Row],[Year Installed_HP]]</f>
        <v>5</v>
      </c>
      <c r="W141" s="26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141" s="26">
        <f>[1]Input_EUL_CRC_ERC!$B$17-Table1[[#This Row],[Year Installed_PF]]</f>
        <v>5</v>
      </c>
      <c r="Y141" s="26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141" s="25">
        <f>IF(Table1[[#This Row],[Years_Next_Rehab_Well]]&lt;=0,VLOOKUP(Table1[[#This Row],[Item_Rehab_WL]],[1]!Table2[#All],3,FALSE),0)</f>
        <v>0</v>
      </c>
      <c r="AA141" s="25">
        <f>IF(Table1[[#This Row],[Adjusted_ULife_HP]]&lt;=0,VLOOKUP(Table1[[#This Row],[Item_Handpump]],[1]!Table2[#All],3,FALSE),0)</f>
        <v>0</v>
      </c>
      <c r="AB141" s="25">
        <f>IF(Table1[[#This Row],[Adjusted_ULife_PF]]&lt;=0,VLOOKUP(Table1[[#This Row],[Item_Platform]],[1]!Table2[#All],3,FALSE),0)</f>
        <v>0</v>
      </c>
      <c r="AC141" s="25">
        <f>SUM(Table1[[#This Row],[current yr_wl]:[current yr_pf]])</f>
        <v>0</v>
      </c>
      <c r="AD141" s="25">
        <f>IF(Table1[[#This Row],[Years_Next_Rehab_Well]]=1,VLOOKUP(Table1[[#This Row],[Item_Rehab_WL]],[1]!Table2[#All],4,FALSE),0)</f>
        <v>0</v>
      </c>
      <c r="AE141" s="25">
        <f>IF(Table1[[#This Row],[Adjusted_ULife_HP]]=1,VLOOKUP(Table1[[#This Row],[Item_Handpump]],[1]!Table2[#All],4,FALSE),0)</f>
        <v>0</v>
      </c>
      <c r="AF141" s="25">
        <f>IF(Table1[[#This Row],[Adjusted_ULife_PF]]=1,VLOOKUP(Table1[[#This Row],[Item_Platform]],[1]!Table2[#All],4,FALSE),0)</f>
        <v>0</v>
      </c>
      <c r="AG141" s="25">
        <f>SUM(Table1[[#This Row],[yr 1_wl]:[yr 1_pf]])</f>
        <v>0</v>
      </c>
      <c r="AH141" s="25">
        <f>IF(Table1[[#This Row],[Years_Next_Rehab_Well]]=2,VLOOKUP(Table1[[#This Row],[Item_Rehab_WL]],[1]!Table2[#All],5,FALSE),0)</f>
        <v>0</v>
      </c>
      <c r="AI141" s="25">
        <f>IF(Table1[[#This Row],[Adjusted_ULife_HP]]=2,VLOOKUP(Table1[[#This Row],[Item_Handpump]],[1]!Table2[#All],5,FALSE),0)</f>
        <v>0</v>
      </c>
      <c r="AJ141" s="25">
        <f>IF(Table1[[#This Row],[Adjusted_ULife_PF]]=2,VLOOKUP(Table1[[#This Row],[Item_Platform]],[1]!Table2[#All],5,FALSE),0)</f>
        <v>0</v>
      </c>
      <c r="AK141" s="25">
        <f>SUM(Table1[[#This Row],[yr 2_wl]:[yr 2_pf]])</f>
        <v>0</v>
      </c>
      <c r="AL141" s="25">
        <f>IF(Table1[[#This Row],[Years_Next_Rehab_Well]]=3,VLOOKUP(Table1[[#This Row],[Item_Rehab_WL]],[1]!Table2[#All],6,FALSE),0)</f>
        <v>0</v>
      </c>
      <c r="AM141" s="25">
        <f>IF(Table1[[#This Row],[Adjusted_ULife_HP]]=3,VLOOKUP(Table1[[#This Row],[Item_Handpump]],[1]!Table2[#All],6,FALSE),0)</f>
        <v>0</v>
      </c>
      <c r="AN141" s="25">
        <f>IF(Table1[[#This Row],[Adjusted_ULife_PF]]=3,VLOOKUP(Table1[[#This Row],[Item_Platform]],[1]!Table2[#All],6,FALSE),0)</f>
        <v>0</v>
      </c>
      <c r="AO141" s="25">
        <f>SUM(Table1[[#This Row],[yr 3_wl]:[yr 3_pf]])</f>
        <v>0</v>
      </c>
      <c r="AP141" s="25">
        <f>IF(Table1[[#This Row],[Years_Next_Rehab_Well]]=4,VLOOKUP(Table1[[#This Row],[Item_Rehab_WL]],[1]!Table2[#All],7,FALSE),0)</f>
        <v>0</v>
      </c>
      <c r="AQ141" s="25">
        <f>IF(Table1[[#This Row],[Adjusted_ULife_HP]]=4,VLOOKUP(Table1[[#This Row],[Item_Handpump]],[1]!Table2[#All],7,FALSE),0)</f>
        <v>0</v>
      </c>
      <c r="AR141" s="25">
        <f>IF(Table1[[#This Row],[Adjusted_ULife_PF]]=4,VLOOKUP(Table1[[#This Row],[Item_Platform]],[1]!Table2[#All],7,FALSE),0)</f>
        <v>0</v>
      </c>
      <c r="AS141" s="25">
        <f>SUM(Table1[[#This Row],[yr 4_wl]:[yr 4_pf]])</f>
        <v>0</v>
      </c>
      <c r="AT141" s="25">
        <f>IF(Table1[[#This Row],[Years_Next_Rehab_Well]]=5,VLOOKUP(Table1[[#This Row],[Item_Rehab_WL]],[1]!Table2[#All],8,FALSE),0)</f>
        <v>0</v>
      </c>
      <c r="AU141" s="25">
        <f>IF(Table1[[#This Row],[Adjusted_ULife_HP]]=5,VLOOKUP(Table1[[#This Row],[Item_Handpump]],[1]!Table2[#All],8,FALSE),0)</f>
        <v>0</v>
      </c>
      <c r="AV141" s="25">
        <f>IF(Table1[[#This Row],[Adjusted_ULife_PF]]=5,VLOOKUP(Table1[[#This Row],[Item_Platform]],[1]!Table2[#All],8,FALSE),0)</f>
        <v>2643.5125248000018</v>
      </c>
      <c r="AW141" s="25">
        <f>SUM(Table1[[#This Row],[yr 5_wl]:[yr 5_pf]])</f>
        <v>2643.5125248000018</v>
      </c>
      <c r="AX141" s="25">
        <f>IF(Table1[[#This Row],[Years_Next_Rehab_Well]]=6,VLOOKUP(Table1[[#This Row],[Item_Rehab_WL]],[1]!Table2[#All],9,FALSE),0)</f>
        <v>0</v>
      </c>
      <c r="AY141" s="25">
        <f>IF(Table1[[#This Row],[Adjusted_ULife_HP]]=6,VLOOKUP(Table1[[#This Row],[Item_Handpump]],[1]!Table2[#All],9,FALSE),0)</f>
        <v>0</v>
      </c>
      <c r="AZ141" s="25">
        <f>IF(Table1[[#This Row],[Adjusted_ULife_PF]]=6,VLOOKUP(Table1[[#This Row],[Item_Platform]],[1]!Table2[#All],9,FALSE),0)</f>
        <v>0</v>
      </c>
      <c r="BA141" s="25">
        <f>SUM(Table1[[#This Row],[yr 6_wl]:[yr 6_pf]])</f>
        <v>0</v>
      </c>
      <c r="BB141" s="25">
        <f>IF(Table1[[#This Row],[Years_Next_Rehab_Well]]=7,VLOOKUP(Table1[[#This Row],[Item_Rehab_WL]],[1]!Table2[#All],10,FALSE),0)</f>
        <v>0</v>
      </c>
      <c r="BC141" s="25">
        <f>IF(Table1[[#This Row],[Adjusted_ULife_HP]]=7,VLOOKUP(Table1[[#This Row],[Item_Handpump]],[1]!Table2[#All],10,FALSE),0)</f>
        <v>0</v>
      </c>
      <c r="BD141" s="25">
        <f>IF(Table1[[#This Row],[Adjusted_ULife_PF]]=7,VLOOKUP(Table1[[#This Row],[Item_Platform]],[1]!Table2[#All],10,FALSE),0)</f>
        <v>0</v>
      </c>
      <c r="BE141" s="25">
        <f>SUM(Table1[[#This Row],[yr 7_wl]:[yr 7_pf]])</f>
        <v>0</v>
      </c>
      <c r="BF141" s="25">
        <f>IF(Table1[[#This Row],[Years_Next_Rehab_Well]]=8,VLOOKUP(Table1[[#This Row],[Item_Rehab_WL]],[1]!Table2[#All],11,FALSE),0)</f>
        <v>0</v>
      </c>
      <c r="BG141" s="25">
        <f>IF(Table1[[#This Row],[Adjusted_ULife_HP]]=8,VLOOKUP(Table1[[#This Row],[Item_Handpump]],[1]!Table2[#All],11,FALSE),0)</f>
        <v>0</v>
      </c>
      <c r="BH141" s="25">
        <f>IF(Table1[[#This Row],[Adjusted_ULife_PF]]=8,VLOOKUP(Table1[[#This Row],[Item_Platform]],[1]!Table2[#All],11,FALSE),0)</f>
        <v>0</v>
      </c>
      <c r="BI141" s="25">
        <f>SUM(Table1[[#This Row],[yr 8_wl]:[yr 8_pf]])</f>
        <v>0</v>
      </c>
      <c r="BJ141" s="25">
        <f>IF(Table1[[#This Row],[Years_Next_Rehab_Well]]=9,VLOOKUP(Table1[[#This Row],[Item_Rehab_WL]],[1]!Table2[#All],12,FALSE),0)</f>
        <v>0</v>
      </c>
      <c r="BK141" s="25">
        <f>IF(Table1[[#This Row],[Adjusted_ULife_HP]]=9,VLOOKUP(Table1[[#This Row],[Item_Handpump]],[1]!Table2[#All],12,FALSE),0)</f>
        <v>0</v>
      </c>
      <c r="BL141" s="25">
        <f>IF(Table1[[#This Row],[Adjusted_ULife_PF]]=9,VLOOKUP(Table1[[#This Row],[Item_Platform]],[1]!Table2[#All],12,FALSE),0)</f>
        <v>0</v>
      </c>
      <c r="BM141" s="25">
        <f>SUM(Table1[[#This Row],[yr 9_wl]:[yr 9_pf]])</f>
        <v>0</v>
      </c>
      <c r="BN141" s="25">
        <f>IF(Table1[[#This Row],[Years_Next_Rehab_Well]]=10,VLOOKUP(Table1[[#This Row],[Item_Rehab_WL]],[1]!Table2[#All],13,FALSE),0)</f>
        <v>11388.110097262112</v>
      </c>
      <c r="BO141" s="25">
        <f>IF(Table1[[#This Row],[Adjusted_ULife_HP]]=10,VLOOKUP(Table1[[#This Row],[Item_Handpump]],[1]!Table2[#All],13,FALSE),0)</f>
        <v>0</v>
      </c>
      <c r="BP141" s="25">
        <f>IF(Table1[[#This Row],[Adjusted_ULife_PF]]=10,VLOOKUP(Table1[[#This Row],[Item_Platform]],[1]!Table2[#All],13,FALSE),0)</f>
        <v>0</v>
      </c>
      <c r="BQ141" s="25">
        <f>SUM(Table1[[#This Row],[yr 10_wl]:[yr 10_pf]])</f>
        <v>11388.110097262112</v>
      </c>
      <c r="BR141" s="25">
        <f>IF(Table1[[#This Row],[Years_Next_Rehab_Well]]=11,VLOOKUP(Table1[[#This Row],[Item_Rehab_WL]],[1]!Table2[#All],14,FALSE),0)</f>
        <v>0</v>
      </c>
      <c r="BS141" s="25">
        <f>IF(Table1[[#This Row],[Adjusted_ULife_HP]]=11,VLOOKUP(Table1[[#This Row],[Item_Handpump]],[1]!Table2[#All],14,FALSE),0)</f>
        <v>0</v>
      </c>
      <c r="BT141" s="25">
        <f>IF(Table1[[#This Row],[Adjusted_ULife_PF]]=11,VLOOKUP(Table1[[#This Row],[Item_Platform]],[1]!Table2[#All],14,FALSE),0)</f>
        <v>0</v>
      </c>
      <c r="BU141" s="25">
        <f>SUM(Table1[[#This Row],[yr 11_wl]:[yr 11_pf]])</f>
        <v>0</v>
      </c>
      <c r="BV141" s="25">
        <f>IF(Table1[[#This Row],[Years_Next_Rehab_Well]]=12,VLOOKUP(Table1[[#This Row],[Item_Rehab_WL]],[1]!Table2[#All],15,FALSE),0)</f>
        <v>0</v>
      </c>
      <c r="BW141" s="25">
        <f>IF(Table1[[#This Row],[Adjusted_ULife_HP]]=12,VLOOKUP(Table1[[#This Row],[Item_Handpump]],[1]!Table2[#All],15,FALSE),0)</f>
        <v>0</v>
      </c>
      <c r="BX141" s="25">
        <f>IF(Table1[[#This Row],[Adjusted_ULife_PF]]=12,VLOOKUP(Table1[[#This Row],[Item_Platform]],[1]!Table2[#All],15,FALSE),0)</f>
        <v>0</v>
      </c>
      <c r="BY141" s="25">
        <f>SUM(Table1[[#This Row],[yr 12_wl]:[yr 12_pf]])</f>
        <v>0</v>
      </c>
      <c r="BZ141" s="25">
        <f>IF(Table1[[#This Row],[Years_Next_Rehab_Well]]=13,VLOOKUP(Table1[[#This Row],[Item_Rehab_WL]],[1]!Table2[#All],16,FALSE),0)</f>
        <v>0</v>
      </c>
      <c r="CA141" s="25">
        <f>IF(Table1[[#This Row],[Adjusted_ULife_HP]]=13,VLOOKUP(Table1[[#This Row],[Item_Handpump]],[1]!Table2[#All],16,FALSE),0)</f>
        <v>0</v>
      </c>
      <c r="CB141" s="25">
        <f>IF(Table1[[#This Row],[Adjusted_ULife_PF]]=13,VLOOKUP(Table1[[#This Row],[Item_Platform]],[1]!Table2[#All],16,FALSE),0)</f>
        <v>0</v>
      </c>
      <c r="CC141" s="25">
        <f>SUM(Table1[[#This Row],[yr 13_wl]:[yr 13_pf]])</f>
        <v>0</v>
      </c>
      <c r="CD141" s="12"/>
    </row>
    <row r="142" spans="1:82" s="11" customFormat="1" x14ac:dyDescent="0.25">
      <c r="A142" s="11" t="str">
        <f>IF([1]Input_monitoring_data!A138="","",[1]Input_monitoring_data!A138)</f>
        <v>sfxq-hvq2-qkvm</v>
      </c>
      <c r="B142" s="22" t="str">
        <f>[1]Input_monitoring_data!BH138</f>
        <v>Goamu</v>
      </c>
      <c r="C142" s="22" t="str">
        <f>[1]Input_monitoring_data!BI138</f>
        <v>Asamang-Goamu</v>
      </c>
      <c r="D142" s="22" t="str">
        <f>[1]Input_monitoring_data!P138</f>
        <v>7.068996754526363</v>
      </c>
      <c r="E142" s="22" t="str">
        <f>[1]Input_monitoring_data!Q138</f>
        <v>-2.4893331618218713</v>
      </c>
      <c r="F142" s="22" t="str">
        <f>[1]Input_monitoring_data!V138</f>
        <v>Close To Agya Salifu's House.</v>
      </c>
      <c r="G142" s="23" t="str">
        <f>[1]Input_monitoring_data!U138</f>
        <v>Borehole</v>
      </c>
      <c r="H142" s="22">
        <f>[1]Input_monitoring_data!X138</f>
        <v>2003</v>
      </c>
      <c r="I142" s="21" t="str">
        <f>[1]Input_monitoring_data!AB138</f>
        <v>Borehole redevelopment</v>
      </c>
      <c r="J142" s="21">
        <f>[1]Input_monitoring_data!AC138</f>
        <v>0</v>
      </c>
      <c r="K142" s="23" t="str">
        <f>[1]Input_monitoring_data!W138</f>
        <v>AfriDev</v>
      </c>
      <c r="L142" s="22">
        <f>[1]Input_monitoring_data!X138</f>
        <v>2003</v>
      </c>
      <c r="M142" s="21">
        <f>IF([1]Input_monitoring_data!BL138&gt;'Point Sources_Asset_Register_'!L142,[1]Input_monitoring_data!BL138,"")</f>
        <v>2017</v>
      </c>
      <c r="N142" s="22" t="str">
        <f>[1]Input_monitoring_data!BQ138</f>
        <v>functional</v>
      </c>
      <c r="O142" s="22">
        <f>[1]Input_monitoring_data!AJ138</f>
        <v>0</v>
      </c>
      <c r="P142" s="23" t="s">
        <v>0</v>
      </c>
      <c r="Q142" s="22">
        <f>L142</f>
        <v>2003</v>
      </c>
      <c r="R142" s="21">
        <f>M142</f>
        <v>2017</v>
      </c>
      <c r="S142" s="20">
        <f>[1]Input_EUL_CRC_ERC!$B$17-Table1[[#This Row],[Year Installed_WL]]</f>
        <v>14</v>
      </c>
      <c r="T142" s="20">
        <f>[1]Input_EUL_CRC_ERC!$B$17-(IF(Table1[[#This Row],[Year Last_Rehab_WL ]]=0,Table1[[#This Row],[Year Installed_WL]],[1]Input_EUL_CRC_ERC!$B$17-Table1[[#This Row],[Year Last_Rehab_WL ]]))</f>
        <v>14</v>
      </c>
      <c r="U142" s="20">
        <f>(VLOOKUP(Table1[[#This Row],[Item_Rehab_WL]],[1]Input_EUL_CRC_ERC!$C$17:$E$27,2,FALSE)-Table1[[#This Row],[Last Rehab Age]])</f>
        <v>1</v>
      </c>
      <c r="V142" s="19">
        <f>[1]Input_EUL_CRC_ERC!$B$17-Table1[[#This Row],[Year Installed_HP]]</f>
        <v>14</v>
      </c>
      <c r="W142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42" s="19">
        <f>[1]Input_EUL_CRC_ERC!$B$17-Table1[[#This Row],[Year Installed_PF]]</f>
        <v>14</v>
      </c>
      <c r="Y142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42" s="25">
        <f>IF(Table1[[#This Row],[Years_Next_Rehab_Well]]&lt;=0,VLOOKUP(Table1[[#This Row],[Item_Rehab_WL]],[1]!Table2[#All],3,FALSE),0)</f>
        <v>0</v>
      </c>
      <c r="AA142" s="18">
        <f>IF(Table1[[#This Row],[Adjusted_ULife_HP]]&lt;=0,VLOOKUP(Table1[[#This Row],[Item_Handpump]],[1]!Table2[#All],3,FALSE),0)</f>
        <v>0</v>
      </c>
      <c r="AB142" s="18">
        <f>IF(Table1[[#This Row],[Adjusted_ULife_PF]]&lt;=0,VLOOKUP(Table1[[#This Row],[Item_Platform]],[1]!Table2[#All],3,FALSE),0)</f>
        <v>0</v>
      </c>
      <c r="AC142" s="18">
        <f>SUM(Table1[[#This Row],[current yr_wl]:[current yr_pf]])</f>
        <v>0</v>
      </c>
      <c r="AD142" s="25">
        <f>IF(Table1[[#This Row],[Years_Next_Rehab_Well]]=1,VLOOKUP(Table1[[#This Row],[Item_Rehab_WL]],[1]!Table2[#All],4,FALSE),0)</f>
        <v>4106.666666666667</v>
      </c>
      <c r="AE142" s="25">
        <f>IF(Table1[[#This Row],[Adjusted_ULife_HP]]=1,VLOOKUP(Table1[[#This Row],[Item_Handpump]],[1]!Table2[#All],4,FALSE),0)</f>
        <v>0</v>
      </c>
      <c r="AF142" s="25">
        <f>IF(Table1[[#This Row],[Adjusted_ULife_PF]]=1,VLOOKUP(Table1[[#This Row],[Item_Platform]],[1]!Table2[#All],4,FALSE),0)</f>
        <v>0</v>
      </c>
      <c r="AG142" s="25">
        <f>SUM(Table1[[#This Row],[yr 1_wl]:[yr 1_pf]])</f>
        <v>4106.666666666667</v>
      </c>
      <c r="AH142" s="25">
        <f>IF(Table1[[#This Row],[Years_Next_Rehab_Well]]=2,VLOOKUP(Table1[[#This Row],[Item_Rehab_WL]],[1]!Table2[#All],5,FALSE),0)</f>
        <v>0</v>
      </c>
      <c r="AI142" s="25">
        <f>IF(Table1[[#This Row],[Adjusted_ULife_HP]]=2,VLOOKUP(Table1[[#This Row],[Item_Handpump]],[1]!Table2[#All],5,FALSE),0)</f>
        <v>0</v>
      </c>
      <c r="AJ142" s="25">
        <f>IF(Table1[[#This Row],[Adjusted_ULife_PF]]=2,VLOOKUP(Table1[[#This Row],[Item_Platform]],[1]!Table2[#All],5,FALSE),0)</f>
        <v>0</v>
      </c>
      <c r="AK142" s="25">
        <f>SUM(Table1[[#This Row],[yr 2_wl]:[yr 2_pf]])</f>
        <v>0</v>
      </c>
      <c r="AL142" s="25">
        <f>IF(Table1[[#This Row],[Years_Next_Rehab_Well]]=3,VLOOKUP(Table1[[#This Row],[Item_Rehab_WL]],[1]!Table2[#All],6,FALSE),0)</f>
        <v>0</v>
      </c>
      <c r="AM142" s="25">
        <f>IF(Table1[[#This Row],[Adjusted_ULife_HP]]=3,VLOOKUP(Table1[[#This Row],[Item_Handpump]],[1]!Table2[#All],6,FALSE),0)</f>
        <v>0</v>
      </c>
      <c r="AN142" s="25">
        <f>IF(Table1[[#This Row],[Adjusted_ULife_PF]]=3,VLOOKUP(Table1[[#This Row],[Item_Platform]],[1]!Table2[#All],6,FALSE),0)</f>
        <v>0</v>
      </c>
      <c r="AO142" s="25">
        <f>SUM(Table1[[#This Row],[yr 3_wl]:[yr 3_pf]])</f>
        <v>0</v>
      </c>
      <c r="AP142" s="25">
        <f>IF(Table1[[#This Row],[Years_Next_Rehab_Well]]=4,VLOOKUP(Table1[[#This Row],[Item_Rehab_WL]],[1]!Table2[#All],7,FALSE),0)</f>
        <v>0</v>
      </c>
      <c r="AQ142" s="25">
        <f>IF(Table1[[#This Row],[Adjusted_ULife_HP]]=4,VLOOKUP(Table1[[#This Row],[Item_Handpump]],[1]!Table2[#All],7,FALSE),0)</f>
        <v>0</v>
      </c>
      <c r="AR142" s="25">
        <f>IF(Table1[[#This Row],[Adjusted_ULife_PF]]=4,VLOOKUP(Table1[[#This Row],[Item_Platform]],[1]!Table2[#All],7,FALSE),0)</f>
        <v>0</v>
      </c>
      <c r="AS142" s="25">
        <f>SUM(Table1[[#This Row],[yr 4_wl]:[yr 4_pf]])</f>
        <v>0</v>
      </c>
      <c r="AT142" s="25">
        <f>IF(Table1[[#This Row],[Years_Next_Rehab_Well]]=5,VLOOKUP(Table1[[#This Row],[Item_Rehab_WL]],[1]!Table2[#All],8,FALSE),0)</f>
        <v>0</v>
      </c>
      <c r="AU142" s="25">
        <f>IF(Table1[[#This Row],[Adjusted_ULife_HP]]=5,VLOOKUP(Table1[[#This Row],[Item_Handpump]],[1]!Table2[#All],8,FALSE),0)</f>
        <v>0</v>
      </c>
      <c r="AV142" s="25">
        <f>IF(Table1[[#This Row],[Adjusted_ULife_PF]]=5,VLOOKUP(Table1[[#This Row],[Item_Platform]],[1]!Table2[#All],8,FALSE),0)</f>
        <v>0</v>
      </c>
      <c r="AW142" s="25">
        <f>SUM(Table1[[#This Row],[yr 5_wl]:[yr 5_pf]])</f>
        <v>0</v>
      </c>
      <c r="AX142" s="25">
        <f>IF(Table1[[#This Row],[Years_Next_Rehab_Well]]=6,VLOOKUP(Table1[[#This Row],[Item_Rehab_WL]],[1]!Table2[#All],9,FALSE),0)</f>
        <v>0</v>
      </c>
      <c r="AY142" s="25">
        <f>IF(Table1[[#This Row],[Adjusted_ULife_HP]]=6,VLOOKUP(Table1[[#This Row],[Item_Handpump]],[1]!Table2[#All],9,FALSE),0)</f>
        <v>0</v>
      </c>
      <c r="AZ142" s="25">
        <f>IF(Table1[[#This Row],[Adjusted_ULife_PF]]=6,VLOOKUP(Table1[[#This Row],[Item_Platform]],[1]!Table2[#All],9,FALSE),0)</f>
        <v>0</v>
      </c>
      <c r="BA142" s="25">
        <f>SUM(Table1[[#This Row],[yr 6_wl]:[yr 6_pf]])</f>
        <v>0</v>
      </c>
      <c r="BB142" s="25">
        <f>IF(Table1[[#This Row],[Years_Next_Rehab_Well]]=7,VLOOKUP(Table1[[#This Row],[Item_Rehab_WL]],[1]!Table2[#All],10,FALSE),0)</f>
        <v>0</v>
      </c>
      <c r="BC142" s="25">
        <f>IF(Table1[[#This Row],[Adjusted_ULife_HP]]=7,VLOOKUP(Table1[[#This Row],[Item_Handpump]],[1]!Table2[#All],10,FALSE),0)</f>
        <v>0</v>
      </c>
      <c r="BD142" s="25">
        <f>IF(Table1[[#This Row],[Adjusted_ULife_PF]]=7,VLOOKUP(Table1[[#This Row],[Item_Platform]],[1]!Table2[#All],10,FALSE),0)</f>
        <v>0</v>
      </c>
      <c r="BE142" s="25">
        <f>SUM(Table1[[#This Row],[yr 7_wl]:[yr 7_pf]])</f>
        <v>0</v>
      </c>
      <c r="BF142" s="25">
        <f>IF(Table1[[#This Row],[Years_Next_Rehab_Well]]=8,VLOOKUP(Table1[[#This Row],[Item_Rehab_WL]],[1]!Table2[#All],11,FALSE),0)</f>
        <v>0</v>
      </c>
      <c r="BG142" s="25">
        <f>IF(Table1[[#This Row],[Adjusted_ULife_HP]]=8,VLOOKUP(Table1[[#This Row],[Item_Handpump]],[1]!Table2[#All],11,FALSE),0)</f>
        <v>0</v>
      </c>
      <c r="BH142" s="25">
        <f>IF(Table1[[#This Row],[Adjusted_ULife_PF]]=8,VLOOKUP(Table1[[#This Row],[Item_Platform]],[1]!Table2[#All],11,FALSE),0)</f>
        <v>0</v>
      </c>
      <c r="BI142" s="25">
        <f>SUM(Table1[[#This Row],[yr 8_wl]:[yr 8_pf]])</f>
        <v>0</v>
      </c>
      <c r="BJ142" s="25">
        <f>IF(Table1[[#This Row],[Years_Next_Rehab_Well]]=9,VLOOKUP(Table1[[#This Row],[Item_Rehab_WL]],[1]!Table2[#All],12,FALSE),0)</f>
        <v>0</v>
      </c>
      <c r="BK142" s="25">
        <f>IF(Table1[[#This Row],[Adjusted_ULife_HP]]=9,VLOOKUP(Table1[[#This Row],[Item_Handpump]],[1]!Table2[#All],12,FALSE),0)</f>
        <v>0</v>
      </c>
      <c r="BL142" s="25">
        <f>IF(Table1[[#This Row],[Adjusted_ULife_PF]]=9,VLOOKUP(Table1[[#This Row],[Item_Platform]],[1]!Table2[#All],12,FALSE),0)</f>
        <v>0</v>
      </c>
      <c r="BM142" s="25">
        <f>SUM(Table1[[#This Row],[yr 9_wl]:[yr 9_pf]])</f>
        <v>0</v>
      </c>
      <c r="BN142" s="25">
        <f>IF(Table1[[#This Row],[Years_Next_Rehab_Well]]=10,VLOOKUP(Table1[[#This Row],[Item_Rehab_WL]],[1]!Table2[#All],13,FALSE),0)</f>
        <v>0</v>
      </c>
      <c r="BO142" s="25">
        <f>IF(Table1[[#This Row],[Adjusted_ULife_HP]]=10,VLOOKUP(Table1[[#This Row],[Item_Handpump]],[1]!Table2[#All],13,FALSE),0)</f>
        <v>0</v>
      </c>
      <c r="BP142" s="25">
        <f>IF(Table1[[#This Row],[Adjusted_ULife_PF]]=10,VLOOKUP(Table1[[#This Row],[Item_Platform]],[1]!Table2[#All],13,FALSE),0)</f>
        <v>4658.7723125163184</v>
      </c>
      <c r="BQ142" s="25">
        <f>SUM(Table1[[#This Row],[yr 10_wl]:[yr 10_pf]])</f>
        <v>4658.7723125163184</v>
      </c>
      <c r="BR142" s="25">
        <f>IF(Table1[[#This Row],[Years_Next_Rehab_Well]]=11,VLOOKUP(Table1[[#This Row],[Item_Rehab_WL]],[1]!Table2[#All],14,FALSE),0)</f>
        <v>0</v>
      </c>
      <c r="BS142" s="25">
        <f>IF(Table1[[#This Row],[Adjusted_ULife_HP]]=11,VLOOKUP(Table1[[#This Row],[Item_Handpump]],[1]!Table2[#All],14,FALSE),0)</f>
        <v>0</v>
      </c>
      <c r="BT142" s="25">
        <f>IF(Table1[[#This Row],[Adjusted_ULife_PF]]=11,VLOOKUP(Table1[[#This Row],[Item_Platform]],[1]!Table2[#All],14,FALSE),0)</f>
        <v>0</v>
      </c>
      <c r="BU142" s="25">
        <f>SUM(Table1[[#This Row],[yr 11_wl]:[yr 11_pf]])</f>
        <v>0</v>
      </c>
      <c r="BV142" s="25">
        <f>IF(Table1[[#This Row],[Years_Next_Rehab_Well]]=12,VLOOKUP(Table1[[#This Row],[Item_Rehab_WL]],[1]!Table2[#All],15,FALSE),0)</f>
        <v>0</v>
      </c>
      <c r="BW142" s="25">
        <f>IF(Table1[[#This Row],[Adjusted_ULife_HP]]=12,VLOOKUP(Table1[[#This Row],[Item_Handpump]],[1]!Table2[#All],15,FALSE),0)</f>
        <v>0</v>
      </c>
      <c r="BX142" s="25">
        <f>IF(Table1[[#This Row],[Adjusted_ULife_PF]]=12,VLOOKUP(Table1[[#This Row],[Item_Platform]],[1]!Table2[#All],15,FALSE),0)</f>
        <v>0</v>
      </c>
      <c r="BY142" s="25">
        <f>SUM(Table1[[#This Row],[yr 12_wl]:[yr 12_pf]])</f>
        <v>0</v>
      </c>
      <c r="BZ142" s="25">
        <f>IF(Table1[[#This Row],[Years_Next_Rehab_Well]]=13,VLOOKUP(Table1[[#This Row],[Item_Rehab_WL]],[1]!Table2[#All],16,FALSE),0)</f>
        <v>0</v>
      </c>
      <c r="CA142" s="25">
        <f>IF(Table1[[#This Row],[Adjusted_ULife_HP]]=13,VLOOKUP(Table1[[#This Row],[Item_Handpump]],[1]!Table2[#All],16,FALSE),0)</f>
        <v>0</v>
      </c>
      <c r="CB142" s="25">
        <f>IF(Table1[[#This Row],[Adjusted_ULife_PF]]=13,VLOOKUP(Table1[[#This Row],[Item_Platform]],[1]!Table2[#All],16,FALSE),0)</f>
        <v>0</v>
      </c>
      <c r="CC142" s="25">
        <f>SUM(Table1[[#This Row],[yr 13_wl]:[yr 13_pf]])</f>
        <v>0</v>
      </c>
      <c r="CD142" s="12"/>
    </row>
    <row r="143" spans="1:82" s="11" customFormat="1" x14ac:dyDescent="0.25">
      <c r="A143" s="11" t="str">
        <f>IF([1]Input_monitoring_data!A139="","",[1]Input_monitoring_data!A139)</f>
        <v>sm39-bd8j-cjbq</v>
      </c>
      <c r="B143" s="22" t="str">
        <f>[1]Input_monitoring_data!BH139</f>
        <v>GOAMU</v>
      </c>
      <c r="C143" s="22" t="str">
        <f>[1]Input_monitoring_data!BI139</f>
        <v>GOAMU CAMP</v>
      </c>
      <c r="D143" s="22" t="str">
        <f>[1]Input_monitoring_data!P139</f>
        <v>7.08290049268346</v>
      </c>
      <c r="E143" s="22" t="str">
        <f>[1]Input_monitoring_data!Q139</f>
        <v>-2.4258433324108375</v>
      </c>
      <c r="F143" s="22" t="str">
        <f>[1]Input_monitoring_data!V139</f>
        <v>forest Ano wneneso 1</v>
      </c>
      <c r="G143" s="23" t="str">
        <f>[1]Input_monitoring_data!U139</f>
        <v>Borehole</v>
      </c>
      <c r="H143" s="22">
        <f>[1]Input_monitoring_data!X139</f>
        <v>2014</v>
      </c>
      <c r="I143" s="21" t="str">
        <f>[1]Input_monitoring_data!AB139</f>
        <v>Borehole redevelopment</v>
      </c>
      <c r="J143" s="21">
        <f>[1]Input_monitoring_data!AC139</f>
        <v>0</v>
      </c>
      <c r="K143" s="23" t="str">
        <f>[1]Input_monitoring_data!W139</f>
        <v>AfriDev</v>
      </c>
      <c r="L143" s="22">
        <f>[1]Input_monitoring_data!X139</f>
        <v>2014</v>
      </c>
      <c r="M143" s="21" t="str">
        <f>IF([1]Input_monitoring_data!BL139&gt;'Point Sources_Asset_Register_'!L143,[1]Input_monitoring_data!BL139,"")</f>
        <v/>
      </c>
      <c r="N143" s="22" t="str">
        <f>[1]Input_monitoring_data!BQ139</f>
        <v>functional</v>
      </c>
      <c r="O143" s="22">
        <f>[1]Input_monitoring_data!AJ139</f>
        <v>0</v>
      </c>
      <c r="P143" s="23" t="s">
        <v>0</v>
      </c>
      <c r="Q143" s="22">
        <f>L143</f>
        <v>2014</v>
      </c>
      <c r="R143" s="21" t="str">
        <f>M143</f>
        <v/>
      </c>
      <c r="S143" s="20">
        <f>[1]Input_EUL_CRC_ERC!$B$17-Table1[[#This Row],[Year Installed_WL]]</f>
        <v>3</v>
      </c>
      <c r="T143" s="20">
        <f>[1]Input_EUL_CRC_ERC!$B$17-(IF(Table1[[#This Row],[Year Last_Rehab_WL ]]=0,Table1[[#This Row],[Year Installed_WL]],[1]Input_EUL_CRC_ERC!$B$17-Table1[[#This Row],[Year Last_Rehab_WL ]]))</f>
        <v>3</v>
      </c>
      <c r="U143" s="20">
        <f>(VLOOKUP(Table1[[#This Row],[Item_Rehab_WL]],[1]Input_EUL_CRC_ERC!$C$17:$E$27,2,FALSE)-Table1[[#This Row],[Last Rehab Age]])</f>
        <v>12</v>
      </c>
      <c r="V143" s="19">
        <f>[1]Input_EUL_CRC_ERC!$B$17-Table1[[#This Row],[Year Installed_HP]]</f>
        <v>3</v>
      </c>
      <c r="W143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43" s="19">
        <f>[1]Input_EUL_CRC_ERC!$B$17-Table1[[#This Row],[Year Installed_PF]]</f>
        <v>3</v>
      </c>
      <c r="Y143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43" s="25">
        <f>IF(Table1[[#This Row],[Years_Next_Rehab_Well]]&lt;=0,VLOOKUP(Table1[[#This Row],[Item_Rehab_WL]],[1]!Table2[#All],3,FALSE),0)</f>
        <v>0</v>
      </c>
      <c r="AA143" s="18">
        <f>IF(Table1[[#This Row],[Adjusted_ULife_HP]]&lt;=0,VLOOKUP(Table1[[#This Row],[Item_Handpump]],[1]!Table2[#All],3,FALSE),0)</f>
        <v>0</v>
      </c>
      <c r="AB143" s="18">
        <f>IF(Table1[[#This Row],[Adjusted_ULife_PF]]&lt;=0,VLOOKUP(Table1[[#This Row],[Item_Platform]],[1]!Table2[#All],3,FALSE),0)</f>
        <v>0</v>
      </c>
      <c r="AC143" s="18">
        <f>SUM(Table1[[#This Row],[current yr_wl]:[current yr_pf]])</f>
        <v>0</v>
      </c>
      <c r="AD143" s="25">
        <f>IF(Table1[[#This Row],[Years_Next_Rehab_Well]]=1,VLOOKUP(Table1[[#This Row],[Item_Rehab_WL]],[1]!Table2[#All],4,FALSE),0)</f>
        <v>0</v>
      </c>
      <c r="AE143" s="25">
        <f>IF(Table1[[#This Row],[Adjusted_ULife_HP]]=1,VLOOKUP(Table1[[#This Row],[Item_Handpump]],[1]!Table2[#All],4,FALSE),0)</f>
        <v>0</v>
      </c>
      <c r="AF143" s="25">
        <f>IF(Table1[[#This Row],[Adjusted_ULife_PF]]=1,VLOOKUP(Table1[[#This Row],[Item_Platform]],[1]!Table2[#All],4,FALSE),0)</f>
        <v>0</v>
      </c>
      <c r="AG143" s="25">
        <f>SUM(Table1[[#This Row],[yr 1_wl]:[yr 1_pf]])</f>
        <v>0</v>
      </c>
      <c r="AH143" s="25">
        <f>IF(Table1[[#This Row],[Years_Next_Rehab_Well]]=2,VLOOKUP(Table1[[#This Row],[Item_Rehab_WL]],[1]!Table2[#All],5,FALSE),0)</f>
        <v>0</v>
      </c>
      <c r="AI143" s="25">
        <f>IF(Table1[[#This Row],[Adjusted_ULife_HP]]=2,VLOOKUP(Table1[[#This Row],[Item_Handpump]],[1]!Table2[#All],5,FALSE),0)</f>
        <v>0</v>
      </c>
      <c r="AJ143" s="25">
        <f>IF(Table1[[#This Row],[Adjusted_ULife_PF]]=2,VLOOKUP(Table1[[#This Row],[Item_Platform]],[1]!Table2[#All],5,FALSE),0)</f>
        <v>0</v>
      </c>
      <c r="AK143" s="25">
        <f>SUM(Table1[[#This Row],[yr 2_wl]:[yr 2_pf]])</f>
        <v>0</v>
      </c>
      <c r="AL143" s="25">
        <f>IF(Table1[[#This Row],[Years_Next_Rehab_Well]]=3,VLOOKUP(Table1[[#This Row],[Item_Rehab_WL]],[1]!Table2[#All],6,FALSE),0)</f>
        <v>0</v>
      </c>
      <c r="AM143" s="25">
        <f>IF(Table1[[#This Row],[Adjusted_ULife_HP]]=3,VLOOKUP(Table1[[#This Row],[Item_Handpump]],[1]!Table2[#All],6,FALSE),0)</f>
        <v>0</v>
      </c>
      <c r="AN143" s="25">
        <f>IF(Table1[[#This Row],[Adjusted_ULife_PF]]=3,VLOOKUP(Table1[[#This Row],[Item_Platform]],[1]!Table2[#All],6,FALSE),0)</f>
        <v>0</v>
      </c>
      <c r="AO143" s="25">
        <f>SUM(Table1[[#This Row],[yr 3_wl]:[yr 3_pf]])</f>
        <v>0</v>
      </c>
      <c r="AP143" s="25">
        <f>IF(Table1[[#This Row],[Years_Next_Rehab_Well]]=4,VLOOKUP(Table1[[#This Row],[Item_Rehab_WL]],[1]!Table2[#All],7,FALSE),0)</f>
        <v>0</v>
      </c>
      <c r="AQ143" s="25">
        <f>IF(Table1[[#This Row],[Adjusted_ULife_HP]]=4,VLOOKUP(Table1[[#This Row],[Item_Handpump]],[1]!Table2[#All],7,FALSE),0)</f>
        <v>0</v>
      </c>
      <c r="AR143" s="25">
        <f>IF(Table1[[#This Row],[Adjusted_ULife_PF]]=4,VLOOKUP(Table1[[#This Row],[Item_Platform]],[1]!Table2[#All],7,FALSE),0)</f>
        <v>0</v>
      </c>
      <c r="AS143" s="25">
        <f>SUM(Table1[[#This Row],[yr 4_wl]:[yr 4_pf]])</f>
        <v>0</v>
      </c>
      <c r="AT143" s="25">
        <f>IF(Table1[[#This Row],[Years_Next_Rehab_Well]]=5,VLOOKUP(Table1[[#This Row],[Item_Rehab_WL]],[1]!Table2[#All],8,FALSE),0)</f>
        <v>0</v>
      </c>
      <c r="AU143" s="25">
        <f>IF(Table1[[#This Row],[Adjusted_ULife_HP]]=5,VLOOKUP(Table1[[#This Row],[Item_Handpump]],[1]!Table2[#All],8,FALSE),0)</f>
        <v>0</v>
      </c>
      <c r="AV143" s="25">
        <f>IF(Table1[[#This Row],[Adjusted_ULife_PF]]=5,VLOOKUP(Table1[[#This Row],[Item_Platform]],[1]!Table2[#All],8,FALSE),0)</f>
        <v>0</v>
      </c>
      <c r="AW143" s="25">
        <f>SUM(Table1[[#This Row],[yr 5_wl]:[yr 5_pf]])</f>
        <v>0</v>
      </c>
      <c r="AX143" s="25">
        <f>IF(Table1[[#This Row],[Years_Next_Rehab_Well]]=6,VLOOKUP(Table1[[#This Row],[Item_Rehab_WL]],[1]!Table2[#All],9,FALSE),0)</f>
        <v>0</v>
      </c>
      <c r="AY143" s="25">
        <f>IF(Table1[[#This Row],[Adjusted_ULife_HP]]=6,VLOOKUP(Table1[[#This Row],[Item_Handpump]],[1]!Table2[#All],9,FALSE),0)</f>
        <v>0</v>
      </c>
      <c r="AZ143" s="25">
        <f>IF(Table1[[#This Row],[Adjusted_ULife_PF]]=6,VLOOKUP(Table1[[#This Row],[Item_Platform]],[1]!Table2[#All],9,FALSE),0)</f>
        <v>0</v>
      </c>
      <c r="BA143" s="25">
        <f>SUM(Table1[[#This Row],[yr 6_wl]:[yr 6_pf]])</f>
        <v>0</v>
      </c>
      <c r="BB143" s="25">
        <f>IF(Table1[[#This Row],[Years_Next_Rehab_Well]]=7,VLOOKUP(Table1[[#This Row],[Item_Rehab_WL]],[1]!Table2[#All],10,FALSE),0)</f>
        <v>0</v>
      </c>
      <c r="BC143" s="25">
        <f>IF(Table1[[#This Row],[Adjusted_ULife_HP]]=7,VLOOKUP(Table1[[#This Row],[Item_Handpump]],[1]!Table2[#All],10,FALSE),0)</f>
        <v>0</v>
      </c>
      <c r="BD143" s="25">
        <f>IF(Table1[[#This Row],[Adjusted_ULife_PF]]=7,VLOOKUP(Table1[[#This Row],[Item_Platform]],[1]!Table2[#All],10,FALSE),0)</f>
        <v>3316.0221111091228</v>
      </c>
      <c r="BE143" s="25">
        <f>SUM(Table1[[#This Row],[yr 7_wl]:[yr 7_pf]])</f>
        <v>3316.0221111091228</v>
      </c>
      <c r="BF143" s="25">
        <f>IF(Table1[[#This Row],[Years_Next_Rehab_Well]]=8,VLOOKUP(Table1[[#This Row],[Item_Rehab_WL]],[1]!Table2[#All],11,FALSE),0)</f>
        <v>0</v>
      </c>
      <c r="BG143" s="25">
        <f>IF(Table1[[#This Row],[Adjusted_ULife_HP]]=8,VLOOKUP(Table1[[#This Row],[Item_Handpump]],[1]!Table2[#All],11,FALSE),0)</f>
        <v>0</v>
      </c>
      <c r="BH143" s="25">
        <f>IF(Table1[[#This Row],[Adjusted_ULife_PF]]=8,VLOOKUP(Table1[[#This Row],[Item_Platform]],[1]!Table2[#All],11,FALSE),0)</f>
        <v>0</v>
      </c>
      <c r="BI143" s="25">
        <f>SUM(Table1[[#This Row],[yr 8_wl]:[yr 8_pf]])</f>
        <v>0</v>
      </c>
      <c r="BJ143" s="25">
        <f>IF(Table1[[#This Row],[Years_Next_Rehab_Well]]=9,VLOOKUP(Table1[[#This Row],[Item_Rehab_WL]],[1]!Table2[#All],12,FALSE),0)</f>
        <v>0</v>
      </c>
      <c r="BK143" s="25">
        <f>IF(Table1[[#This Row],[Adjusted_ULife_HP]]=9,VLOOKUP(Table1[[#This Row],[Item_Handpump]],[1]!Table2[#All],12,FALSE),0)</f>
        <v>0</v>
      </c>
      <c r="BL143" s="25">
        <f>IF(Table1[[#This Row],[Adjusted_ULife_PF]]=9,VLOOKUP(Table1[[#This Row],[Item_Platform]],[1]!Table2[#All],12,FALSE),0)</f>
        <v>0</v>
      </c>
      <c r="BM143" s="25">
        <f>SUM(Table1[[#This Row],[yr 9_wl]:[yr 9_pf]])</f>
        <v>0</v>
      </c>
      <c r="BN143" s="25">
        <f>IF(Table1[[#This Row],[Years_Next_Rehab_Well]]=10,VLOOKUP(Table1[[#This Row],[Item_Rehab_WL]],[1]!Table2[#All],13,FALSE),0)</f>
        <v>0</v>
      </c>
      <c r="BO143" s="25">
        <f>IF(Table1[[#This Row],[Adjusted_ULife_HP]]=10,VLOOKUP(Table1[[#This Row],[Item_Handpump]],[1]!Table2[#All],13,FALSE),0)</f>
        <v>0</v>
      </c>
      <c r="BP143" s="25">
        <f>IF(Table1[[#This Row],[Adjusted_ULife_PF]]=10,VLOOKUP(Table1[[#This Row],[Item_Platform]],[1]!Table2[#All],13,FALSE),0)</f>
        <v>0</v>
      </c>
      <c r="BQ143" s="25">
        <f>SUM(Table1[[#This Row],[yr 10_wl]:[yr 10_pf]])</f>
        <v>0</v>
      </c>
      <c r="BR143" s="25">
        <f>IF(Table1[[#This Row],[Years_Next_Rehab_Well]]=11,VLOOKUP(Table1[[#This Row],[Item_Rehab_WL]],[1]!Table2[#All],14,FALSE),0)</f>
        <v>0</v>
      </c>
      <c r="BS143" s="25">
        <f>IF(Table1[[#This Row],[Adjusted_ULife_HP]]=11,VLOOKUP(Table1[[#This Row],[Item_Handpump]],[1]!Table2[#All],14,FALSE),0)</f>
        <v>0</v>
      </c>
      <c r="BT143" s="25">
        <f>IF(Table1[[#This Row],[Adjusted_ULife_PF]]=11,VLOOKUP(Table1[[#This Row],[Item_Platform]],[1]!Table2[#All],14,FALSE),0)</f>
        <v>0</v>
      </c>
      <c r="BU143" s="25">
        <f>SUM(Table1[[#This Row],[yr 11_wl]:[yr 11_pf]])</f>
        <v>0</v>
      </c>
      <c r="BV143" s="25">
        <f>IF(Table1[[#This Row],[Years_Next_Rehab_Well]]=12,VLOOKUP(Table1[[#This Row],[Item_Rehab_WL]],[1]!Table2[#All],15,FALSE),0)</f>
        <v>14285.245306005596</v>
      </c>
      <c r="BW143" s="25">
        <f>IF(Table1[[#This Row],[Adjusted_ULife_HP]]=12,VLOOKUP(Table1[[#This Row],[Item_Handpump]],[1]!Table2[#All],15,FALSE),0)</f>
        <v>0</v>
      </c>
      <c r="BX143" s="25">
        <f>IF(Table1[[#This Row],[Adjusted_ULife_PF]]=12,VLOOKUP(Table1[[#This Row],[Item_Platform]],[1]!Table2[#All],15,FALSE),0)</f>
        <v>0</v>
      </c>
      <c r="BY143" s="25">
        <f>SUM(Table1[[#This Row],[yr 12_wl]:[yr 12_pf]])</f>
        <v>14285.245306005596</v>
      </c>
      <c r="BZ143" s="25">
        <f>IF(Table1[[#This Row],[Years_Next_Rehab_Well]]=13,VLOOKUP(Table1[[#This Row],[Item_Rehab_WL]],[1]!Table2[#All],16,FALSE),0)</f>
        <v>0</v>
      </c>
      <c r="CA143" s="25">
        <f>IF(Table1[[#This Row],[Adjusted_ULife_HP]]=13,VLOOKUP(Table1[[#This Row],[Item_Handpump]],[1]!Table2[#All],16,FALSE),0)</f>
        <v>0</v>
      </c>
      <c r="CB143" s="25">
        <f>IF(Table1[[#This Row],[Adjusted_ULife_PF]]=13,VLOOKUP(Table1[[#This Row],[Item_Platform]],[1]!Table2[#All],16,FALSE),0)</f>
        <v>0</v>
      </c>
      <c r="CC143" s="25">
        <f>SUM(Table1[[#This Row],[yr 13_wl]:[yr 13_pf]])</f>
        <v>0</v>
      </c>
      <c r="CD143" s="12"/>
    </row>
    <row r="144" spans="1:82" s="11" customFormat="1" x14ac:dyDescent="0.25">
      <c r="A144" s="11" t="str">
        <f>IF([1]Input_monitoring_data!A140="","",[1]Input_monitoring_data!A140)</f>
        <v>sqsg-a1g7-q977</v>
      </c>
      <c r="B144" s="22" t="str">
        <f>[1]Input_monitoring_data!BH140</f>
        <v>Goamu</v>
      </c>
      <c r="C144" s="22" t="str">
        <f>[1]Input_monitoring_data!BI140</f>
        <v>Goatifi</v>
      </c>
      <c r="D144" s="22" t="str">
        <f>[1]Input_monitoring_data!P140</f>
        <v>7.0256190215022505</v>
      </c>
      <c r="E144" s="22" t="str">
        <f>[1]Input_monitoring_data!Q140</f>
        <v>-2.503002639039818</v>
      </c>
      <c r="F144" s="22" t="str">
        <f>[1]Input_monitoring_data!V140</f>
        <v>Behind Mr. Osei's House</v>
      </c>
      <c r="G144" s="23" t="str">
        <f>[1]Input_monitoring_data!U140</f>
        <v>Borehole</v>
      </c>
      <c r="H144" s="22">
        <f>[1]Input_monitoring_data!X140</f>
        <v>2007</v>
      </c>
      <c r="I144" s="21" t="str">
        <f>[1]Input_monitoring_data!AB140</f>
        <v>Borehole redevelopment</v>
      </c>
      <c r="J144" s="21">
        <f>[1]Input_monitoring_data!AC140</f>
        <v>0</v>
      </c>
      <c r="K144" s="23" t="str">
        <f>[1]Input_monitoring_data!W140</f>
        <v>AfriDev</v>
      </c>
      <c r="L144" s="22">
        <f>[1]Input_monitoring_data!X140</f>
        <v>2007</v>
      </c>
      <c r="M144" s="21">
        <f>IF([1]Input_monitoring_data!BL140&gt;'Point Sources_Asset_Register_'!L144,[1]Input_monitoring_data!BL140,"")</f>
        <v>2017</v>
      </c>
      <c r="N144" s="22" t="str">
        <f>[1]Input_monitoring_data!BQ140</f>
        <v>functional</v>
      </c>
      <c r="O144" s="22" t="str">
        <f>[1]Input_monitoring_data!AJ140</f>
        <v>Handpump broken</v>
      </c>
      <c r="P144" s="23" t="s">
        <v>0</v>
      </c>
      <c r="Q144" s="22">
        <f>L144</f>
        <v>2007</v>
      </c>
      <c r="R144" s="21">
        <f>M144</f>
        <v>2017</v>
      </c>
      <c r="S144" s="20">
        <f>[1]Input_EUL_CRC_ERC!$B$17-Table1[[#This Row],[Year Installed_WL]]</f>
        <v>10</v>
      </c>
      <c r="T144" s="20">
        <f>[1]Input_EUL_CRC_ERC!$B$17-(IF(Table1[[#This Row],[Year Last_Rehab_WL ]]=0,Table1[[#This Row],[Year Installed_WL]],[1]Input_EUL_CRC_ERC!$B$17-Table1[[#This Row],[Year Last_Rehab_WL ]]))</f>
        <v>10</v>
      </c>
      <c r="U144" s="20">
        <f>(VLOOKUP(Table1[[#This Row],[Item_Rehab_WL]],[1]Input_EUL_CRC_ERC!$C$17:$E$27,2,FALSE)-Table1[[#This Row],[Last Rehab Age]])</f>
        <v>5</v>
      </c>
      <c r="V144" s="19">
        <f>[1]Input_EUL_CRC_ERC!$B$17-Table1[[#This Row],[Year Installed_HP]]</f>
        <v>10</v>
      </c>
      <c r="W144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44" s="19">
        <f>[1]Input_EUL_CRC_ERC!$B$17-Table1[[#This Row],[Year Installed_PF]]</f>
        <v>10</v>
      </c>
      <c r="Y144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44" s="25">
        <f>IF(Table1[[#This Row],[Years_Next_Rehab_Well]]&lt;=0,VLOOKUP(Table1[[#This Row],[Item_Rehab_WL]],[1]!Table2[#All],3,FALSE),0)</f>
        <v>0</v>
      </c>
      <c r="AA144" s="18">
        <f>IF(Table1[[#This Row],[Adjusted_ULife_HP]]&lt;=0,VLOOKUP(Table1[[#This Row],[Item_Handpump]],[1]!Table2[#All],3,FALSE),0)</f>
        <v>0</v>
      </c>
      <c r="AB144" s="18">
        <f>IF(Table1[[#This Row],[Adjusted_ULife_PF]]&lt;=0,VLOOKUP(Table1[[#This Row],[Item_Platform]],[1]!Table2[#All],3,FALSE),0)</f>
        <v>0</v>
      </c>
      <c r="AC144" s="18">
        <f>SUM(Table1[[#This Row],[current yr_wl]:[current yr_pf]])</f>
        <v>0</v>
      </c>
      <c r="AD144" s="25">
        <f>IF(Table1[[#This Row],[Years_Next_Rehab_Well]]=1,VLOOKUP(Table1[[#This Row],[Item_Rehab_WL]],[1]!Table2[#All],4,FALSE),0)</f>
        <v>0</v>
      </c>
      <c r="AE144" s="25">
        <f>IF(Table1[[#This Row],[Adjusted_ULife_HP]]=1,VLOOKUP(Table1[[#This Row],[Item_Handpump]],[1]!Table2[#All],4,FALSE),0)</f>
        <v>0</v>
      </c>
      <c r="AF144" s="25">
        <f>IF(Table1[[#This Row],[Adjusted_ULife_PF]]=1,VLOOKUP(Table1[[#This Row],[Item_Platform]],[1]!Table2[#All],4,FALSE),0)</f>
        <v>0</v>
      </c>
      <c r="AG144" s="25">
        <f>SUM(Table1[[#This Row],[yr 1_wl]:[yr 1_pf]])</f>
        <v>0</v>
      </c>
      <c r="AH144" s="25">
        <f>IF(Table1[[#This Row],[Years_Next_Rehab_Well]]=2,VLOOKUP(Table1[[#This Row],[Item_Rehab_WL]],[1]!Table2[#All],5,FALSE),0)</f>
        <v>0</v>
      </c>
      <c r="AI144" s="25">
        <f>IF(Table1[[#This Row],[Adjusted_ULife_HP]]=2,VLOOKUP(Table1[[#This Row],[Item_Handpump]],[1]!Table2[#All],5,FALSE),0)</f>
        <v>0</v>
      </c>
      <c r="AJ144" s="25">
        <f>IF(Table1[[#This Row],[Adjusted_ULife_PF]]=2,VLOOKUP(Table1[[#This Row],[Item_Platform]],[1]!Table2[#All],5,FALSE),0)</f>
        <v>0</v>
      </c>
      <c r="AK144" s="25">
        <f>SUM(Table1[[#This Row],[yr 2_wl]:[yr 2_pf]])</f>
        <v>0</v>
      </c>
      <c r="AL144" s="25">
        <f>IF(Table1[[#This Row],[Years_Next_Rehab_Well]]=3,VLOOKUP(Table1[[#This Row],[Item_Rehab_WL]],[1]!Table2[#All],6,FALSE),0)</f>
        <v>0</v>
      </c>
      <c r="AM144" s="25">
        <f>IF(Table1[[#This Row],[Adjusted_ULife_HP]]=3,VLOOKUP(Table1[[#This Row],[Item_Handpump]],[1]!Table2[#All],6,FALSE),0)</f>
        <v>0</v>
      </c>
      <c r="AN144" s="25">
        <f>IF(Table1[[#This Row],[Adjusted_ULife_PF]]=3,VLOOKUP(Table1[[#This Row],[Item_Platform]],[1]!Table2[#All],6,FALSE),0)</f>
        <v>0</v>
      </c>
      <c r="AO144" s="25">
        <f>SUM(Table1[[#This Row],[yr 3_wl]:[yr 3_pf]])</f>
        <v>0</v>
      </c>
      <c r="AP144" s="25">
        <f>IF(Table1[[#This Row],[Years_Next_Rehab_Well]]=4,VLOOKUP(Table1[[#This Row],[Item_Rehab_WL]],[1]!Table2[#All],7,FALSE),0)</f>
        <v>0</v>
      </c>
      <c r="AQ144" s="25">
        <f>IF(Table1[[#This Row],[Adjusted_ULife_HP]]=4,VLOOKUP(Table1[[#This Row],[Item_Handpump]],[1]!Table2[#All],7,FALSE),0)</f>
        <v>0</v>
      </c>
      <c r="AR144" s="25">
        <f>IF(Table1[[#This Row],[Adjusted_ULife_PF]]=4,VLOOKUP(Table1[[#This Row],[Item_Platform]],[1]!Table2[#All],7,FALSE),0)</f>
        <v>0</v>
      </c>
      <c r="AS144" s="25">
        <f>SUM(Table1[[#This Row],[yr 4_wl]:[yr 4_pf]])</f>
        <v>0</v>
      </c>
      <c r="AT144" s="25">
        <f>IF(Table1[[#This Row],[Years_Next_Rehab_Well]]=5,VLOOKUP(Table1[[#This Row],[Item_Rehab_WL]],[1]!Table2[#All],8,FALSE),0)</f>
        <v>6461.9195050666694</v>
      </c>
      <c r="AU144" s="25">
        <f>IF(Table1[[#This Row],[Adjusted_ULife_HP]]=5,VLOOKUP(Table1[[#This Row],[Item_Handpump]],[1]!Table2[#All],8,FALSE),0)</f>
        <v>0</v>
      </c>
      <c r="AV144" s="25">
        <f>IF(Table1[[#This Row],[Adjusted_ULife_PF]]=5,VLOOKUP(Table1[[#This Row],[Item_Platform]],[1]!Table2[#All],8,FALSE),0)</f>
        <v>0</v>
      </c>
      <c r="AW144" s="25">
        <f>SUM(Table1[[#This Row],[yr 5_wl]:[yr 5_pf]])</f>
        <v>6461.9195050666694</v>
      </c>
      <c r="AX144" s="25">
        <f>IF(Table1[[#This Row],[Years_Next_Rehab_Well]]=6,VLOOKUP(Table1[[#This Row],[Item_Rehab_WL]],[1]!Table2[#All],9,FALSE),0)</f>
        <v>0</v>
      </c>
      <c r="AY144" s="25">
        <f>IF(Table1[[#This Row],[Adjusted_ULife_HP]]=6,VLOOKUP(Table1[[#This Row],[Item_Handpump]],[1]!Table2[#All],9,FALSE),0)</f>
        <v>0</v>
      </c>
      <c r="AZ144" s="25">
        <f>IF(Table1[[#This Row],[Adjusted_ULife_PF]]=6,VLOOKUP(Table1[[#This Row],[Item_Platform]],[1]!Table2[#All],9,FALSE),0)</f>
        <v>0</v>
      </c>
      <c r="BA144" s="25">
        <f>SUM(Table1[[#This Row],[yr 6_wl]:[yr 6_pf]])</f>
        <v>0</v>
      </c>
      <c r="BB144" s="25">
        <f>IF(Table1[[#This Row],[Years_Next_Rehab_Well]]=7,VLOOKUP(Table1[[#This Row],[Item_Rehab_WL]],[1]!Table2[#All],10,FALSE),0)</f>
        <v>0</v>
      </c>
      <c r="BC144" s="25">
        <f>IF(Table1[[#This Row],[Adjusted_ULife_HP]]=7,VLOOKUP(Table1[[#This Row],[Item_Handpump]],[1]!Table2[#All],10,FALSE),0)</f>
        <v>0</v>
      </c>
      <c r="BD144" s="25">
        <f>IF(Table1[[#This Row],[Adjusted_ULife_PF]]=7,VLOOKUP(Table1[[#This Row],[Item_Platform]],[1]!Table2[#All],10,FALSE),0)</f>
        <v>0</v>
      </c>
      <c r="BE144" s="25">
        <f>SUM(Table1[[#This Row],[yr 7_wl]:[yr 7_pf]])</f>
        <v>0</v>
      </c>
      <c r="BF144" s="25">
        <f>IF(Table1[[#This Row],[Years_Next_Rehab_Well]]=8,VLOOKUP(Table1[[#This Row],[Item_Rehab_WL]],[1]!Table2[#All],11,FALSE),0)</f>
        <v>0</v>
      </c>
      <c r="BG144" s="25">
        <f>IF(Table1[[#This Row],[Adjusted_ULife_HP]]=8,VLOOKUP(Table1[[#This Row],[Item_Handpump]],[1]!Table2[#All],11,FALSE),0)</f>
        <v>0</v>
      </c>
      <c r="BH144" s="25">
        <f>IF(Table1[[#This Row],[Adjusted_ULife_PF]]=8,VLOOKUP(Table1[[#This Row],[Item_Platform]],[1]!Table2[#All],11,FALSE),0)</f>
        <v>0</v>
      </c>
      <c r="BI144" s="25">
        <f>SUM(Table1[[#This Row],[yr 8_wl]:[yr 8_pf]])</f>
        <v>0</v>
      </c>
      <c r="BJ144" s="25">
        <f>IF(Table1[[#This Row],[Years_Next_Rehab_Well]]=9,VLOOKUP(Table1[[#This Row],[Item_Rehab_WL]],[1]!Table2[#All],12,FALSE),0)</f>
        <v>0</v>
      </c>
      <c r="BK144" s="25">
        <f>IF(Table1[[#This Row],[Adjusted_ULife_HP]]=9,VLOOKUP(Table1[[#This Row],[Item_Handpump]],[1]!Table2[#All],12,FALSE),0)</f>
        <v>0</v>
      </c>
      <c r="BL144" s="25">
        <f>IF(Table1[[#This Row],[Adjusted_ULife_PF]]=9,VLOOKUP(Table1[[#This Row],[Item_Platform]],[1]!Table2[#All],12,FALSE),0)</f>
        <v>0</v>
      </c>
      <c r="BM144" s="25">
        <f>SUM(Table1[[#This Row],[yr 9_wl]:[yr 9_pf]])</f>
        <v>0</v>
      </c>
      <c r="BN144" s="25">
        <f>IF(Table1[[#This Row],[Years_Next_Rehab_Well]]=10,VLOOKUP(Table1[[#This Row],[Item_Rehab_WL]],[1]!Table2[#All],13,FALSE),0)</f>
        <v>0</v>
      </c>
      <c r="BO144" s="25">
        <f>IF(Table1[[#This Row],[Adjusted_ULife_HP]]=10,VLOOKUP(Table1[[#This Row],[Item_Handpump]],[1]!Table2[#All],13,FALSE),0)</f>
        <v>0</v>
      </c>
      <c r="BP144" s="25">
        <f>IF(Table1[[#This Row],[Adjusted_ULife_PF]]=10,VLOOKUP(Table1[[#This Row],[Item_Platform]],[1]!Table2[#All],13,FALSE),0)</f>
        <v>4658.7723125163184</v>
      </c>
      <c r="BQ144" s="25">
        <f>SUM(Table1[[#This Row],[yr 10_wl]:[yr 10_pf]])</f>
        <v>4658.7723125163184</v>
      </c>
      <c r="BR144" s="25">
        <f>IF(Table1[[#This Row],[Years_Next_Rehab_Well]]=11,VLOOKUP(Table1[[#This Row],[Item_Rehab_WL]],[1]!Table2[#All],14,FALSE),0)</f>
        <v>0</v>
      </c>
      <c r="BS144" s="25">
        <f>IF(Table1[[#This Row],[Adjusted_ULife_HP]]=11,VLOOKUP(Table1[[#This Row],[Item_Handpump]],[1]!Table2[#All],14,FALSE),0)</f>
        <v>0</v>
      </c>
      <c r="BT144" s="25">
        <f>IF(Table1[[#This Row],[Adjusted_ULife_PF]]=11,VLOOKUP(Table1[[#This Row],[Item_Platform]],[1]!Table2[#All],14,FALSE),0)</f>
        <v>0</v>
      </c>
      <c r="BU144" s="25">
        <f>SUM(Table1[[#This Row],[yr 11_wl]:[yr 11_pf]])</f>
        <v>0</v>
      </c>
      <c r="BV144" s="25">
        <f>IF(Table1[[#This Row],[Years_Next_Rehab_Well]]=12,VLOOKUP(Table1[[#This Row],[Item_Rehab_WL]],[1]!Table2[#All],15,FALSE),0)</f>
        <v>0</v>
      </c>
      <c r="BW144" s="25">
        <f>IF(Table1[[#This Row],[Adjusted_ULife_HP]]=12,VLOOKUP(Table1[[#This Row],[Item_Handpump]],[1]!Table2[#All],15,FALSE),0)</f>
        <v>0</v>
      </c>
      <c r="BX144" s="25">
        <f>IF(Table1[[#This Row],[Adjusted_ULife_PF]]=12,VLOOKUP(Table1[[#This Row],[Item_Platform]],[1]!Table2[#All],15,FALSE),0)</f>
        <v>0</v>
      </c>
      <c r="BY144" s="25">
        <f>SUM(Table1[[#This Row],[yr 12_wl]:[yr 12_pf]])</f>
        <v>0</v>
      </c>
      <c r="BZ144" s="25">
        <f>IF(Table1[[#This Row],[Years_Next_Rehab_Well]]=13,VLOOKUP(Table1[[#This Row],[Item_Rehab_WL]],[1]!Table2[#All],16,FALSE),0)</f>
        <v>0</v>
      </c>
      <c r="CA144" s="25">
        <f>IF(Table1[[#This Row],[Adjusted_ULife_HP]]=13,VLOOKUP(Table1[[#This Row],[Item_Handpump]],[1]!Table2[#All],16,FALSE),0)</f>
        <v>0</v>
      </c>
      <c r="CB144" s="25">
        <f>IF(Table1[[#This Row],[Adjusted_ULife_PF]]=13,VLOOKUP(Table1[[#This Row],[Item_Platform]],[1]!Table2[#All],16,FALSE),0)</f>
        <v>0</v>
      </c>
      <c r="CC144" s="25">
        <f>SUM(Table1[[#This Row],[yr 13_wl]:[yr 13_pf]])</f>
        <v>0</v>
      </c>
      <c r="CD144" s="12"/>
    </row>
    <row r="145" spans="1:82" s="11" customFormat="1" x14ac:dyDescent="0.25">
      <c r="A145" s="11" t="str">
        <f>IF([1]Input_monitoring_data!A141="","",[1]Input_monitoring_data!A141)</f>
        <v>svd2-f26q-t9s7</v>
      </c>
      <c r="B145" s="22" t="str">
        <f>[1]Input_monitoring_data!BH141</f>
        <v>GAMBIA</v>
      </c>
      <c r="C145" s="22" t="str">
        <f>[1]Input_monitoring_data!BI141</f>
        <v>NZONGOHENE AKURAA</v>
      </c>
      <c r="D145" s="22" t="str">
        <f>[1]Input_monitoring_data!P141</f>
        <v>7.10757799</v>
      </c>
      <c r="E145" s="22" t="str">
        <f>[1]Input_monitoring_data!Q141</f>
        <v>-2.65365309</v>
      </c>
      <c r="F145" s="22" t="str">
        <f>[1]Input_monitoring_data!V141</f>
        <v>About  200meters away from  Asoripaini junction right</v>
      </c>
      <c r="G145" s="23" t="str">
        <f>[1]Input_monitoring_data!U141</f>
        <v>Borehole</v>
      </c>
      <c r="H145" s="22">
        <f>[1]Input_monitoring_data!X141</f>
        <v>2017</v>
      </c>
      <c r="I145" s="21" t="str">
        <f>[1]Input_monitoring_data!AB141</f>
        <v>Borehole redevelopment</v>
      </c>
      <c r="J145" s="21">
        <f>[1]Input_monitoring_data!AC141</f>
        <v>0</v>
      </c>
      <c r="K145" s="23" t="str">
        <f>[1]Input_monitoring_data!W141</f>
        <v>AfriDev</v>
      </c>
      <c r="L145" s="22">
        <f>[1]Input_monitoring_data!X141</f>
        <v>2017</v>
      </c>
      <c r="M145" s="21" t="str">
        <f>IF([1]Input_monitoring_data!BL141&gt;'Point Sources_Asset_Register_'!L145,[1]Input_monitoring_data!BL141,"")</f>
        <v/>
      </c>
      <c r="N145" s="22" t="str">
        <f>[1]Input_monitoring_data!BQ141</f>
        <v>functional</v>
      </c>
      <c r="O145" s="22">
        <f>[1]Input_monitoring_data!AJ141</f>
        <v>0</v>
      </c>
      <c r="P145" s="23" t="s">
        <v>0</v>
      </c>
      <c r="Q145" s="22">
        <f>L145</f>
        <v>2017</v>
      </c>
      <c r="R145" s="21" t="str">
        <f>M145</f>
        <v/>
      </c>
      <c r="S145" s="20">
        <f>[1]Input_EUL_CRC_ERC!$B$17-Table1[[#This Row],[Year Installed_WL]]</f>
        <v>0</v>
      </c>
      <c r="T145" s="20">
        <f>[1]Input_EUL_CRC_ERC!$B$17-(IF(Table1[[#This Row],[Year Last_Rehab_WL ]]=0,Table1[[#This Row],[Year Installed_WL]],[1]Input_EUL_CRC_ERC!$B$17-Table1[[#This Row],[Year Last_Rehab_WL ]]))</f>
        <v>0</v>
      </c>
      <c r="U145" s="20">
        <f>(VLOOKUP(Table1[[#This Row],[Item_Rehab_WL]],[1]Input_EUL_CRC_ERC!$C$17:$E$27,2,FALSE)-Table1[[#This Row],[Last Rehab Age]])</f>
        <v>15</v>
      </c>
      <c r="V145" s="19">
        <f>[1]Input_EUL_CRC_ERC!$B$17-Table1[[#This Row],[Year Installed_HP]]</f>
        <v>0</v>
      </c>
      <c r="W145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45" s="19">
        <f>[1]Input_EUL_CRC_ERC!$B$17-Table1[[#This Row],[Year Installed_PF]]</f>
        <v>0</v>
      </c>
      <c r="Y145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45" s="25">
        <f>IF(Table1[[#This Row],[Years_Next_Rehab_Well]]&lt;=0,VLOOKUP(Table1[[#This Row],[Item_Rehab_WL]],[1]!Table2[#All],3,FALSE),0)</f>
        <v>0</v>
      </c>
      <c r="AA145" s="18">
        <f>IF(Table1[[#This Row],[Adjusted_ULife_HP]]&lt;=0,VLOOKUP(Table1[[#This Row],[Item_Handpump]],[1]!Table2[#All],3,FALSE),0)</f>
        <v>0</v>
      </c>
      <c r="AB145" s="18">
        <f>IF(Table1[[#This Row],[Adjusted_ULife_PF]]&lt;=0,VLOOKUP(Table1[[#This Row],[Item_Platform]],[1]!Table2[#All],3,FALSE),0)</f>
        <v>0</v>
      </c>
      <c r="AC145" s="18">
        <f>SUM(Table1[[#This Row],[current yr_wl]:[current yr_pf]])</f>
        <v>0</v>
      </c>
      <c r="AD145" s="25">
        <f>IF(Table1[[#This Row],[Years_Next_Rehab_Well]]=1,VLOOKUP(Table1[[#This Row],[Item_Rehab_WL]],[1]!Table2[#All],4,FALSE),0)</f>
        <v>0</v>
      </c>
      <c r="AE145" s="25">
        <f>IF(Table1[[#This Row],[Adjusted_ULife_HP]]=1,VLOOKUP(Table1[[#This Row],[Item_Handpump]],[1]!Table2[#All],4,FALSE),0)</f>
        <v>0</v>
      </c>
      <c r="AF145" s="25">
        <f>IF(Table1[[#This Row],[Adjusted_ULife_PF]]=1,VLOOKUP(Table1[[#This Row],[Item_Platform]],[1]!Table2[#All],4,FALSE),0)</f>
        <v>0</v>
      </c>
      <c r="AG145" s="25">
        <f>SUM(Table1[[#This Row],[yr 1_wl]:[yr 1_pf]])</f>
        <v>0</v>
      </c>
      <c r="AH145" s="25">
        <f>IF(Table1[[#This Row],[Years_Next_Rehab_Well]]=2,VLOOKUP(Table1[[#This Row],[Item_Rehab_WL]],[1]!Table2[#All],5,FALSE),0)</f>
        <v>0</v>
      </c>
      <c r="AI145" s="25">
        <f>IF(Table1[[#This Row],[Adjusted_ULife_HP]]=2,VLOOKUP(Table1[[#This Row],[Item_Handpump]],[1]!Table2[#All],5,FALSE),0)</f>
        <v>0</v>
      </c>
      <c r="AJ145" s="25">
        <f>IF(Table1[[#This Row],[Adjusted_ULife_PF]]=2,VLOOKUP(Table1[[#This Row],[Item_Platform]],[1]!Table2[#All],5,FALSE),0)</f>
        <v>0</v>
      </c>
      <c r="AK145" s="25">
        <f>SUM(Table1[[#This Row],[yr 2_wl]:[yr 2_pf]])</f>
        <v>0</v>
      </c>
      <c r="AL145" s="25">
        <f>IF(Table1[[#This Row],[Years_Next_Rehab_Well]]=3,VLOOKUP(Table1[[#This Row],[Item_Rehab_WL]],[1]!Table2[#All],6,FALSE),0)</f>
        <v>0</v>
      </c>
      <c r="AM145" s="25">
        <f>IF(Table1[[#This Row],[Adjusted_ULife_HP]]=3,VLOOKUP(Table1[[#This Row],[Item_Handpump]],[1]!Table2[#All],6,FALSE),0)</f>
        <v>0</v>
      </c>
      <c r="AN145" s="25">
        <f>IF(Table1[[#This Row],[Adjusted_ULife_PF]]=3,VLOOKUP(Table1[[#This Row],[Item_Platform]],[1]!Table2[#All],6,FALSE),0)</f>
        <v>0</v>
      </c>
      <c r="AO145" s="25">
        <f>SUM(Table1[[#This Row],[yr 3_wl]:[yr 3_pf]])</f>
        <v>0</v>
      </c>
      <c r="AP145" s="25">
        <f>IF(Table1[[#This Row],[Years_Next_Rehab_Well]]=4,VLOOKUP(Table1[[#This Row],[Item_Rehab_WL]],[1]!Table2[#All],7,FALSE),0)</f>
        <v>0</v>
      </c>
      <c r="AQ145" s="25">
        <f>IF(Table1[[#This Row],[Adjusted_ULife_HP]]=4,VLOOKUP(Table1[[#This Row],[Item_Handpump]],[1]!Table2[#All],7,FALSE),0)</f>
        <v>0</v>
      </c>
      <c r="AR145" s="25">
        <f>IF(Table1[[#This Row],[Adjusted_ULife_PF]]=4,VLOOKUP(Table1[[#This Row],[Item_Platform]],[1]!Table2[#All],7,FALSE),0)</f>
        <v>0</v>
      </c>
      <c r="AS145" s="25">
        <f>SUM(Table1[[#This Row],[yr 4_wl]:[yr 4_pf]])</f>
        <v>0</v>
      </c>
      <c r="AT145" s="25">
        <f>IF(Table1[[#This Row],[Years_Next_Rehab_Well]]=5,VLOOKUP(Table1[[#This Row],[Item_Rehab_WL]],[1]!Table2[#All],8,FALSE),0)</f>
        <v>0</v>
      </c>
      <c r="AU145" s="25">
        <f>IF(Table1[[#This Row],[Adjusted_ULife_HP]]=5,VLOOKUP(Table1[[#This Row],[Item_Handpump]],[1]!Table2[#All],8,FALSE),0)</f>
        <v>0</v>
      </c>
      <c r="AV145" s="25">
        <f>IF(Table1[[#This Row],[Adjusted_ULife_PF]]=5,VLOOKUP(Table1[[#This Row],[Item_Platform]],[1]!Table2[#All],8,FALSE),0)</f>
        <v>0</v>
      </c>
      <c r="AW145" s="25">
        <f>SUM(Table1[[#This Row],[yr 5_wl]:[yr 5_pf]])</f>
        <v>0</v>
      </c>
      <c r="AX145" s="25">
        <f>IF(Table1[[#This Row],[Years_Next_Rehab_Well]]=6,VLOOKUP(Table1[[#This Row],[Item_Rehab_WL]],[1]!Table2[#All],9,FALSE),0)</f>
        <v>0</v>
      </c>
      <c r="AY145" s="25">
        <f>IF(Table1[[#This Row],[Adjusted_ULife_HP]]=6,VLOOKUP(Table1[[#This Row],[Item_Handpump]],[1]!Table2[#All],9,FALSE),0)</f>
        <v>0</v>
      </c>
      <c r="AZ145" s="25">
        <f>IF(Table1[[#This Row],[Adjusted_ULife_PF]]=6,VLOOKUP(Table1[[#This Row],[Item_Platform]],[1]!Table2[#All],9,FALSE),0)</f>
        <v>0</v>
      </c>
      <c r="BA145" s="25">
        <f>SUM(Table1[[#This Row],[yr 6_wl]:[yr 6_pf]])</f>
        <v>0</v>
      </c>
      <c r="BB145" s="25">
        <f>IF(Table1[[#This Row],[Years_Next_Rehab_Well]]=7,VLOOKUP(Table1[[#This Row],[Item_Rehab_WL]],[1]!Table2[#All],10,FALSE),0)</f>
        <v>0</v>
      </c>
      <c r="BC145" s="25">
        <f>IF(Table1[[#This Row],[Adjusted_ULife_HP]]=7,VLOOKUP(Table1[[#This Row],[Item_Handpump]],[1]!Table2[#All],10,FALSE),0)</f>
        <v>0</v>
      </c>
      <c r="BD145" s="25">
        <f>IF(Table1[[#This Row],[Adjusted_ULife_PF]]=7,VLOOKUP(Table1[[#This Row],[Item_Platform]],[1]!Table2[#All],10,FALSE),0)</f>
        <v>0</v>
      </c>
      <c r="BE145" s="25">
        <f>SUM(Table1[[#This Row],[yr 7_wl]:[yr 7_pf]])</f>
        <v>0</v>
      </c>
      <c r="BF145" s="25">
        <f>IF(Table1[[#This Row],[Years_Next_Rehab_Well]]=8,VLOOKUP(Table1[[#This Row],[Item_Rehab_WL]],[1]!Table2[#All],11,FALSE),0)</f>
        <v>0</v>
      </c>
      <c r="BG145" s="25">
        <f>IF(Table1[[#This Row],[Adjusted_ULife_HP]]=8,VLOOKUP(Table1[[#This Row],[Item_Handpump]],[1]!Table2[#All],11,FALSE),0)</f>
        <v>0</v>
      </c>
      <c r="BH145" s="25">
        <f>IF(Table1[[#This Row],[Adjusted_ULife_PF]]=8,VLOOKUP(Table1[[#This Row],[Item_Platform]],[1]!Table2[#All],11,FALSE),0)</f>
        <v>0</v>
      </c>
      <c r="BI145" s="25">
        <f>SUM(Table1[[#This Row],[yr 8_wl]:[yr 8_pf]])</f>
        <v>0</v>
      </c>
      <c r="BJ145" s="25">
        <f>IF(Table1[[#This Row],[Years_Next_Rehab_Well]]=9,VLOOKUP(Table1[[#This Row],[Item_Rehab_WL]],[1]!Table2[#All],12,FALSE),0)</f>
        <v>0</v>
      </c>
      <c r="BK145" s="25">
        <f>IF(Table1[[#This Row],[Adjusted_ULife_HP]]=9,VLOOKUP(Table1[[#This Row],[Item_Handpump]],[1]!Table2[#All],12,FALSE),0)</f>
        <v>0</v>
      </c>
      <c r="BL145" s="25">
        <f>IF(Table1[[#This Row],[Adjusted_ULife_PF]]=9,VLOOKUP(Table1[[#This Row],[Item_Platform]],[1]!Table2[#All],12,FALSE),0)</f>
        <v>0</v>
      </c>
      <c r="BM145" s="25">
        <f>SUM(Table1[[#This Row],[yr 9_wl]:[yr 9_pf]])</f>
        <v>0</v>
      </c>
      <c r="BN145" s="25">
        <f>IF(Table1[[#This Row],[Years_Next_Rehab_Well]]=10,VLOOKUP(Table1[[#This Row],[Item_Rehab_WL]],[1]!Table2[#All],13,FALSE),0)</f>
        <v>0</v>
      </c>
      <c r="BO145" s="25">
        <f>IF(Table1[[#This Row],[Adjusted_ULife_HP]]=10,VLOOKUP(Table1[[#This Row],[Item_Handpump]],[1]!Table2[#All],13,FALSE),0)</f>
        <v>0</v>
      </c>
      <c r="BP145" s="25">
        <f>IF(Table1[[#This Row],[Adjusted_ULife_PF]]=10,VLOOKUP(Table1[[#This Row],[Item_Platform]],[1]!Table2[#All],13,FALSE),0)</f>
        <v>4658.7723125163184</v>
      </c>
      <c r="BQ145" s="25">
        <f>SUM(Table1[[#This Row],[yr 10_wl]:[yr 10_pf]])</f>
        <v>4658.7723125163184</v>
      </c>
      <c r="BR145" s="25">
        <f>IF(Table1[[#This Row],[Years_Next_Rehab_Well]]=11,VLOOKUP(Table1[[#This Row],[Item_Rehab_WL]],[1]!Table2[#All],14,FALSE),0)</f>
        <v>0</v>
      </c>
      <c r="BS145" s="25">
        <f>IF(Table1[[#This Row],[Adjusted_ULife_HP]]=11,VLOOKUP(Table1[[#This Row],[Item_Handpump]],[1]!Table2[#All],14,FALSE),0)</f>
        <v>0</v>
      </c>
      <c r="BT145" s="25">
        <f>IF(Table1[[#This Row],[Adjusted_ULife_PF]]=11,VLOOKUP(Table1[[#This Row],[Item_Platform]],[1]!Table2[#All],14,FALSE),0)</f>
        <v>0</v>
      </c>
      <c r="BU145" s="25">
        <f>SUM(Table1[[#This Row],[yr 11_wl]:[yr 11_pf]])</f>
        <v>0</v>
      </c>
      <c r="BV145" s="25">
        <f>IF(Table1[[#This Row],[Years_Next_Rehab_Well]]=12,VLOOKUP(Table1[[#This Row],[Item_Rehab_WL]],[1]!Table2[#All],15,FALSE),0)</f>
        <v>0</v>
      </c>
      <c r="BW145" s="25">
        <f>IF(Table1[[#This Row],[Adjusted_ULife_HP]]=12,VLOOKUP(Table1[[#This Row],[Item_Handpump]],[1]!Table2[#All],15,FALSE),0)</f>
        <v>0</v>
      </c>
      <c r="BX145" s="25">
        <f>IF(Table1[[#This Row],[Adjusted_ULife_PF]]=12,VLOOKUP(Table1[[#This Row],[Item_Platform]],[1]!Table2[#All],15,FALSE),0)</f>
        <v>0</v>
      </c>
      <c r="BY145" s="25">
        <f>SUM(Table1[[#This Row],[yr 12_wl]:[yr 12_pf]])</f>
        <v>0</v>
      </c>
      <c r="BZ145" s="25">
        <f>IF(Table1[[#This Row],[Years_Next_Rehab_Well]]=13,VLOOKUP(Table1[[#This Row],[Item_Rehab_WL]],[1]!Table2[#All],16,FALSE),0)</f>
        <v>0</v>
      </c>
      <c r="CA145" s="25">
        <f>IF(Table1[[#This Row],[Adjusted_ULife_HP]]=13,VLOOKUP(Table1[[#This Row],[Item_Handpump]],[1]!Table2[#All],16,FALSE),0)</f>
        <v>0</v>
      </c>
      <c r="CB145" s="25">
        <f>IF(Table1[[#This Row],[Adjusted_ULife_PF]]=13,VLOOKUP(Table1[[#This Row],[Item_Platform]],[1]!Table2[#All],16,FALSE),0)</f>
        <v>0</v>
      </c>
      <c r="CC145" s="25">
        <f>SUM(Table1[[#This Row],[yr 13_wl]:[yr 13_pf]])</f>
        <v>0</v>
      </c>
      <c r="CD145" s="12"/>
    </row>
    <row r="146" spans="1:82" s="11" customFormat="1" x14ac:dyDescent="0.25">
      <c r="A146" s="11" t="str">
        <f>IF([1]Input_monitoring_data!A142="","",[1]Input_monitoring_data!A142)</f>
        <v>sx58-h98k-actu</v>
      </c>
      <c r="B146" s="22" t="str">
        <f>[1]Input_monitoring_data!BH142</f>
        <v>Kenyasi No.1</v>
      </c>
      <c r="C146" s="22" t="str">
        <f>[1]Input_monitoring_data!BI142</f>
        <v>Kenyasi No.1</v>
      </c>
      <c r="D146" s="22" t="str">
        <f>[1]Input_monitoring_data!P142</f>
        <v>6.968528941651983</v>
      </c>
      <c r="E146" s="22" t="str">
        <f>[1]Input_monitoring_data!Q142</f>
        <v>-2.3819048281751205</v>
      </c>
      <c r="F146" s="22" t="str">
        <f>[1]Input_monitoring_data!V142</f>
        <v>NEAR Agya Opoku's House</v>
      </c>
      <c r="G146" s="23" t="str">
        <f>[1]Input_monitoring_data!U142</f>
        <v>Borehole</v>
      </c>
      <c r="H146" s="22">
        <f>[1]Input_monitoring_data!X142</f>
        <v>2011</v>
      </c>
      <c r="I146" s="21" t="str">
        <f>[1]Input_monitoring_data!AB142</f>
        <v>Borehole redevelopment</v>
      </c>
      <c r="J146" s="21">
        <f>[1]Input_monitoring_data!AC142</f>
        <v>0</v>
      </c>
      <c r="K146" s="23" t="str">
        <f>[1]Input_monitoring_data!W142</f>
        <v>AfriDev</v>
      </c>
      <c r="L146" s="22">
        <f>[1]Input_monitoring_data!X142</f>
        <v>2011</v>
      </c>
      <c r="M146" s="21" t="str">
        <f>IF([1]Input_monitoring_data!BL142&gt;'Point Sources_Asset_Register_'!L146,[1]Input_monitoring_data!BL142,"")</f>
        <v/>
      </c>
      <c r="N146" s="22" t="str">
        <f>[1]Input_monitoring_data!BQ142</f>
        <v>not functional</v>
      </c>
      <c r="O146" s="22" t="str">
        <f>[1]Input_monitoring_data!AJ142</f>
        <v>facility under repair</v>
      </c>
      <c r="P146" s="23" t="s">
        <v>0</v>
      </c>
      <c r="Q146" s="22">
        <f>L146</f>
        <v>2011</v>
      </c>
      <c r="R146" s="21" t="str">
        <f>M146</f>
        <v/>
      </c>
      <c r="S146" s="20">
        <f>[1]Input_EUL_CRC_ERC!$B$17-Table1[[#This Row],[Year Installed_WL]]</f>
        <v>6</v>
      </c>
      <c r="T146" s="20">
        <f>[1]Input_EUL_CRC_ERC!$B$17-(IF(Table1[[#This Row],[Year Last_Rehab_WL ]]=0,Table1[[#This Row],[Year Installed_WL]],[1]Input_EUL_CRC_ERC!$B$17-Table1[[#This Row],[Year Last_Rehab_WL ]]))</f>
        <v>6</v>
      </c>
      <c r="U146" s="20">
        <f>(VLOOKUP(Table1[[#This Row],[Item_Rehab_WL]],[1]Input_EUL_CRC_ERC!$C$17:$E$27,2,FALSE)-Table1[[#This Row],[Last Rehab Age]])</f>
        <v>9</v>
      </c>
      <c r="V146" s="19">
        <f>[1]Input_EUL_CRC_ERC!$B$17-Table1[[#This Row],[Year Installed_HP]]</f>
        <v>6</v>
      </c>
      <c r="W146" s="19">
        <f>(VLOOKUP(Table1[[#This Row],[Item_Handpump]],[1]!Table2[#All],2,FALSE))-(IF(Table1[[#This Row],[Year Last_Rehab_HP]]="",Table1[[#This Row],[Current Age_Handpump]],[1]Input_EUL_CRC_ERC!$B$17-Table1[[#This Row],[Year Last_Rehab_HP]]))</f>
        <v>14</v>
      </c>
      <c r="X146" s="19">
        <f>[1]Input_EUL_CRC_ERC!$B$17-Table1[[#This Row],[Year Installed_PF]]</f>
        <v>6</v>
      </c>
      <c r="Y146" s="19">
        <f>(VLOOKUP(Table1[[#This Row],[Item_Platform]],[1]!Table2[#All],2,FALSE))-(IF(Table1[[#This Row],[Year Last_Rehab_PF]]="",Table1[[#This Row],[Current Age_Platform]],[1]Input_EUL_CRC_ERC!$B$17-Table1[[#This Row],[Year Last_Rehab_PF]]))</f>
        <v>4</v>
      </c>
      <c r="Z146" s="25">
        <f>IF(Table1[[#This Row],[Years_Next_Rehab_Well]]&lt;=0,VLOOKUP(Table1[[#This Row],[Item_Rehab_WL]],[1]!Table2[#All],3,FALSE),0)</f>
        <v>0</v>
      </c>
      <c r="AA146" s="18">
        <f>IF(Table1[[#This Row],[Adjusted_ULife_HP]]&lt;=0,VLOOKUP(Table1[[#This Row],[Item_Handpump]],[1]!Table2[#All],3,FALSE),0)</f>
        <v>0</v>
      </c>
      <c r="AB146" s="18">
        <f>IF(Table1[[#This Row],[Adjusted_ULife_PF]]&lt;=0,VLOOKUP(Table1[[#This Row],[Item_Platform]],[1]!Table2[#All],3,FALSE),0)</f>
        <v>0</v>
      </c>
      <c r="AC146" s="18">
        <f>SUM(Table1[[#This Row],[current yr_wl]:[current yr_pf]])</f>
        <v>0</v>
      </c>
      <c r="AD146" s="25">
        <f>IF(Table1[[#This Row],[Years_Next_Rehab_Well]]=1,VLOOKUP(Table1[[#This Row],[Item_Rehab_WL]],[1]!Table2[#All],4,FALSE),0)</f>
        <v>0</v>
      </c>
      <c r="AE146" s="25">
        <f>IF(Table1[[#This Row],[Adjusted_ULife_HP]]=1,VLOOKUP(Table1[[#This Row],[Item_Handpump]],[1]!Table2[#All],4,FALSE),0)</f>
        <v>0</v>
      </c>
      <c r="AF146" s="25">
        <f>IF(Table1[[#This Row],[Adjusted_ULife_PF]]=1,VLOOKUP(Table1[[#This Row],[Item_Platform]],[1]!Table2[#All],4,FALSE),0)</f>
        <v>0</v>
      </c>
      <c r="AG146" s="25">
        <f>SUM(Table1[[#This Row],[yr 1_wl]:[yr 1_pf]])</f>
        <v>0</v>
      </c>
      <c r="AH146" s="25">
        <f>IF(Table1[[#This Row],[Years_Next_Rehab_Well]]=2,VLOOKUP(Table1[[#This Row],[Item_Rehab_WL]],[1]!Table2[#All],5,FALSE),0)</f>
        <v>0</v>
      </c>
      <c r="AI146" s="25">
        <f>IF(Table1[[#This Row],[Adjusted_ULife_HP]]=2,VLOOKUP(Table1[[#This Row],[Item_Handpump]],[1]!Table2[#All],5,FALSE),0)</f>
        <v>0</v>
      </c>
      <c r="AJ146" s="25">
        <f>IF(Table1[[#This Row],[Adjusted_ULife_PF]]=2,VLOOKUP(Table1[[#This Row],[Item_Platform]],[1]!Table2[#All],5,FALSE),0)</f>
        <v>0</v>
      </c>
      <c r="AK146" s="25">
        <f>SUM(Table1[[#This Row],[yr 2_wl]:[yr 2_pf]])</f>
        <v>0</v>
      </c>
      <c r="AL146" s="25">
        <f>IF(Table1[[#This Row],[Years_Next_Rehab_Well]]=3,VLOOKUP(Table1[[#This Row],[Item_Rehab_WL]],[1]!Table2[#All],6,FALSE),0)</f>
        <v>0</v>
      </c>
      <c r="AM146" s="25">
        <f>IF(Table1[[#This Row],[Adjusted_ULife_HP]]=3,VLOOKUP(Table1[[#This Row],[Item_Handpump]],[1]!Table2[#All],6,FALSE),0)</f>
        <v>0</v>
      </c>
      <c r="AN146" s="25">
        <f>IF(Table1[[#This Row],[Adjusted_ULife_PF]]=3,VLOOKUP(Table1[[#This Row],[Item_Platform]],[1]!Table2[#All],6,FALSE),0)</f>
        <v>0</v>
      </c>
      <c r="AO146" s="25">
        <f>SUM(Table1[[#This Row],[yr 3_wl]:[yr 3_pf]])</f>
        <v>0</v>
      </c>
      <c r="AP146" s="25">
        <f>IF(Table1[[#This Row],[Years_Next_Rehab_Well]]=4,VLOOKUP(Table1[[#This Row],[Item_Rehab_WL]],[1]!Table2[#All],7,FALSE),0)</f>
        <v>0</v>
      </c>
      <c r="AQ146" s="25">
        <f>IF(Table1[[#This Row],[Adjusted_ULife_HP]]=4,VLOOKUP(Table1[[#This Row],[Item_Handpump]],[1]!Table2[#All],7,FALSE),0)</f>
        <v>0</v>
      </c>
      <c r="AR146" s="25">
        <f>IF(Table1[[#This Row],[Adjusted_ULife_PF]]=4,VLOOKUP(Table1[[#This Row],[Item_Platform]],[1]!Table2[#All],7,FALSE),0)</f>
        <v>2360.2790400000013</v>
      </c>
      <c r="AS146" s="25">
        <f>SUM(Table1[[#This Row],[yr 4_wl]:[yr 4_pf]])</f>
        <v>2360.2790400000013</v>
      </c>
      <c r="AT146" s="25">
        <f>IF(Table1[[#This Row],[Years_Next_Rehab_Well]]=5,VLOOKUP(Table1[[#This Row],[Item_Rehab_WL]],[1]!Table2[#All],8,FALSE),0)</f>
        <v>0</v>
      </c>
      <c r="AU146" s="25">
        <f>IF(Table1[[#This Row],[Adjusted_ULife_HP]]=5,VLOOKUP(Table1[[#This Row],[Item_Handpump]],[1]!Table2[#All],8,FALSE),0)</f>
        <v>0</v>
      </c>
      <c r="AV146" s="25">
        <f>IF(Table1[[#This Row],[Adjusted_ULife_PF]]=5,VLOOKUP(Table1[[#This Row],[Item_Platform]],[1]!Table2[#All],8,FALSE),0)</f>
        <v>0</v>
      </c>
      <c r="AW146" s="25">
        <f>SUM(Table1[[#This Row],[yr 5_wl]:[yr 5_pf]])</f>
        <v>0</v>
      </c>
      <c r="AX146" s="25">
        <f>IF(Table1[[#This Row],[Years_Next_Rehab_Well]]=6,VLOOKUP(Table1[[#This Row],[Item_Rehab_WL]],[1]!Table2[#All],9,FALSE),0)</f>
        <v>0</v>
      </c>
      <c r="AY146" s="25">
        <f>IF(Table1[[#This Row],[Adjusted_ULife_HP]]=6,VLOOKUP(Table1[[#This Row],[Item_Handpump]],[1]!Table2[#All],9,FALSE),0)</f>
        <v>0</v>
      </c>
      <c r="AZ146" s="25">
        <f>IF(Table1[[#This Row],[Adjusted_ULife_PF]]=6,VLOOKUP(Table1[[#This Row],[Item_Platform]],[1]!Table2[#All],9,FALSE),0)</f>
        <v>0</v>
      </c>
      <c r="BA146" s="25">
        <f>SUM(Table1[[#This Row],[yr 6_wl]:[yr 6_pf]])</f>
        <v>0</v>
      </c>
      <c r="BB146" s="25">
        <f>IF(Table1[[#This Row],[Years_Next_Rehab_Well]]=7,VLOOKUP(Table1[[#This Row],[Item_Rehab_WL]],[1]!Table2[#All],10,FALSE),0)</f>
        <v>0</v>
      </c>
      <c r="BC146" s="25">
        <f>IF(Table1[[#This Row],[Adjusted_ULife_HP]]=7,VLOOKUP(Table1[[#This Row],[Item_Handpump]],[1]!Table2[#All],10,FALSE),0)</f>
        <v>0</v>
      </c>
      <c r="BD146" s="25">
        <f>IF(Table1[[#This Row],[Adjusted_ULife_PF]]=7,VLOOKUP(Table1[[#This Row],[Item_Platform]],[1]!Table2[#All],10,FALSE),0)</f>
        <v>0</v>
      </c>
      <c r="BE146" s="25">
        <f>SUM(Table1[[#This Row],[yr 7_wl]:[yr 7_pf]])</f>
        <v>0</v>
      </c>
      <c r="BF146" s="25">
        <f>IF(Table1[[#This Row],[Years_Next_Rehab_Well]]=8,VLOOKUP(Table1[[#This Row],[Item_Rehab_WL]],[1]!Table2[#All],11,FALSE),0)</f>
        <v>0</v>
      </c>
      <c r="BG146" s="25">
        <f>IF(Table1[[#This Row],[Adjusted_ULife_HP]]=8,VLOOKUP(Table1[[#This Row],[Item_Handpump]],[1]!Table2[#All],11,FALSE),0)</f>
        <v>0</v>
      </c>
      <c r="BH146" s="25">
        <f>IF(Table1[[#This Row],[Adjusted_ULife_PF]]=8,VLOOKUP(Table1[[#This Row],[Item_Platform]],[1]!Table2[#All],11,FALSE),0)</f>
        <v>0</v>
      </c>
      <c r="BI146" s="25">
        <f>SUM(Table1[[#This Row],[yr 8_wl]:[yr 8_pf]])</f>
        <v>0</v>
      </c>
      <c r="BJ146" s="25">
        <f>IF(Table1[[#This Row],[Years_Next_Rehab_Well]]=9,VLOOKUP(Table1[[#This Row],[Item_Rehab_WL]],[1]!Table2[#All],12,FALSE),0)</f>
        <v>10167.955443984027</v>
      </c>
      <c r="BK146" s="25">
        <f>IF(Table1[[#This Row],[Adjusted_ULife_HP]]=9,VLOOKUP(Table1[[#This Row],[Item_Handpump]],[1]!Table2[#All],12,FALSE),0)</f>
        <v>0</v>
      </c>
      <c r="BL146" s="25">
        <f>IF(Table1[[#This Row],[Adjusted_ULife_PF]]=9,VLOOKUP(Table1[[#This Row],[Item_Platform]],[1]!Table2[#All],12,FALSE),0)</f>
        <v>0</v>
      </c>
      <c r="BM146" s="25">
        <f>SUM(Table1[[#This Row],[yr 9_wl]:[yr 9_pf]])</f>
        <v>10167.955443984027</v>
      </c>
      <c r="BN146" s="25">
        <f>IF(Table1[[#This Row],[Years_Next_Rehab_Well]]=10,VLOOKUP(Table1[[#This Row],[Item_Rehab_WL]],[1]!Table2[#All],13,FALSE),0)</f>
        <v>0</v>
      </c>
      <c r="BO146" s="25">
        <f>IF(Table1[[#This Row],[Adjusted_ULife_HP]]=10,VLOOKUP(Table1[[#This Row],[Item_Handpump]],[1]!Table2[#All],13,FALSE),0)</f>
        <v>0</v>
      </c>
      <c r="BP146" s="25">
        <f>IF(Table1[[#This Row],[Adjusted_ULife_PF]]=10,VLOOKUP(Table1[[#This Row],[Item_Platform]],[1]!Table2[#All],13,FALSE),0)</f>
        <v>0</v>
      </c>
      <c r="BQ146" s="25">
        <f>SUM(Table1[[#This Row],[yr 10_wl]:[yr 10_pf]])</f>
        <v>0</v>
      </c>
      <c r="BR146" s="25">
        <f>IF(Table1[[#This Row],[Years_Next_Rehab_Well]]=11,VLOOKUP(Table1[[#This Row],[Item_Rehab_WL]],[1]!Table2[#All],14,FALSE),0)</f>
        <v>0</v>
      </c>
      <c r="BS146" s="25">
        <f>IF(Table1[[#This Row],[Adjusted_ULife_HP]]=11,VLOOKUP(Table1[[#This Row],[Item_Handpump]],[1]!Table2[#All],14,FALSE),0)</f>
        <v>0</v>
      </c>
      <c r="BT146" s="25">
        <f>IF(Table1[[#This Row],[Adjusted_ULife_PF]]=11,VLOOKUP(Table1[[#This Row],[Item_Platform]],[1]!Table2[#All],14,FALSE),0)</f>
        <v>0</v>
      </c>
      <c r="BU146" s="25">
        <f>SUM(Table1[[#This Row],[yr 11_wl]:[yr 11_pf]])</f>
        <v>0</v>
      </c>
      <c r="BV146" s="25">
        <f>IF(Table1[[#This Row],[Years_Next_Rehab_Well]]=12,VLOOKUP(Table1[[#This Row],[Item_Rehab_WL]],[1]!Table2[#All],15,FALSE),0)</f>
        <v>0</v>
      </c>
      <c r="BW146" s="25">
        <f>IF(Table1[[#This Row],[Adjusted_ULife_HP]]=12,VLOOKUP(Table1[[#This Row],[Item_Handpump]],[1]!Table2[#All],15,FALSE),0)</f>
        <v>0</v>
      </c>
      <c r="BX146" s="25">
        <f>IF(Table1[[#This Row],[Adjusted_ULife_PF]]=12,VLOOKUP(Table1[[#This Row],[Item_Platform]],[1]!Table2[#All],15,FALSE),0)</f>
        <v>0</v>
      </c>
      <c r="BY146" s="25">
        <f>SUM(Table1[[#This Row],[yr 12_wl]:[yr 12_pf]])</f>
        <v>0</v>
      </c>
      <c r="BZ146" s="25">
        <f>IF(Table1[[#This Row],[Years_Next_Rehab_Well]]=13,VLOOKUP(Table1[[#This Row],[Item_Rehab_WL]],[1]!Table2[#All],16,FALSE),0)</f>
        <v>0</v>
      </c>
      <c r="CA146" s="25">
        <f>IF(Table1[[#This Row],[Adjusted_ULife_HP]]=13,VLOOKUP(Table1[[#This Row],[Item_Handpump]],[1]!Table2[#All],16,FALSE),0)</f>
        <v>0</v>
      </c>
      <c r="CB146" s="25">
        <f>IF(Table1[[#This Row],[Adjusted_ULife_PF]]=13,VLOOKUP(Table1[[#This Row],[Item_Platform]],[1]!Table2[#All],16,FALSE),0)</f>
        <v>0</v>
      </c>
      <c r="CC146" s="25">
        <f>SUM(Table1[[#This Row],[yr 13_wl]:[yr 13_pf]])</f>
        <v>0</v>
      </c>
      <c r="CD146" s="12"/>
    </row>
    <row r="147" spans="1:82" s="11" customFormat="1" x14ac:dyDescent="0.25">
      <c r="A147" s="11" t="str">
        <f>IF([1]Input_monitoring_data!A143="","",[1]Input_monitoring_data!A143)</f>
        <v>sx88-66f6-n43</v>
      </c>
      <c r="B147" s="22" t="str">
        <f>[1]Input_monitoring_data!BH143</f>
        <v>KENYASI NO.2</v>
      </c>
      <c r="C147" s="22" t="str">
        <f>[1]Input_monitoring_data!BI143</f>
        <v>KENYASI NO.2</v>
      </c>
      <c r="D147" s="22" t="str">
        <f>[1]Input_monitoring_data!P143</f>
        <v>7.052846534973265</v>
      </c>
      <c r="E147" s="22" t="str">
        <f>[1]Input_monitoring_data!Q143</f>
        <v>-2.3985858955649357</v>
      </c>
      <c r="F147" s="22" t="str">
        <f>[1]Input_monitoring_data!V143</f>
        <v>Near Adam Musa cocoa farm... ko</v>
      </c>
      <c r="G147" s="23" t="str">
        <f>[1]Input_monitoring_data!U143</f>
        <v>Borehole</v>
      </c>
      <c r="H147" s="22">
        <f>[1]Input_monitoring_data!X143</f>
        <v>2016</v>
      </c>
      <c r="I147" s="21" t="str">
        <f>[1]Input_monitoring_data!AB143</f>
        <v>Borehole redevelopment</v>
      </c>
      <c r="J147" s="21">
        <f>[1]Input_monitoring_data!AC143</f>
        <v>0</v>
      </c>
      <c r="K147" s="23" t="str">
        <f>[1]Input_monitoring_data!W143</f>
        <v>AfriDev</v>
      </c>
      <c r="L147" s="22">
        <f>[1]Input_monitoring_data!X143</f>
        <v>2016</v>
      </c>
      <c r="M147" s="21" t="str">
        <f>IF([1]Input_monitoring_data!BL143&gt;'Point Sources_Asset_Register_'!L147,[1]Input_monitoring_data!BL143,"")</f>
        <v/>
      </c>
      <c r="N147" s="22" t="str">
        <f>[1]Input_monitoring_data!BQ143</f>
        <v>functional</v>
      </c>
      <c r="O147" s="22">
        <f>[1]Input_monitoring_data!AJ143</f>
        <v>0</v>
      </c>
      <c r="P147" s="23" t="s">
        <v>0</v>
      </c>
      <c r="Q147" s="22">
        <f>L147</f>
        <v>2016</v>
      </c>
      <c r="R147" s="21" t="str">
        <f>M147</f>
        <v/>
      </c>
      <c r="S147" s="20">
        <f>[1]Input_EUL_CRC_ERC!$B$17-Table1[[#This Row],[Year Installed_WL]]</f>
        <v>1</v>
      </c>
      <c r="T147" s="20">
        <f>[1]Input_EUL_CRC_ERC!$B$17-(IF(Table1[[#This Row],[Year Last_Rehab_WL ]]=0,Table1[[#This Row],[Year Installed_WL]],[1]Input_EUL_CRC_ERC!$B$17-Table1[[#This Row],[Year Last_Rehab_WL ]]))</f>
        <v>1</v>
      </c>
      <c r="U147" s="20">
        <f>(VLOOKUP(Table1[[#This Row],[Item_Rehab_WL]],[1]Input_EUL_CRC_ERC!$C$17:$E$27,2,FALSE)-Table1[[#This Row],[Last Rehab Age]])</f>
        <v>14</v>
      </c>
      <c r="V147" s="19">
        <f>[1]Input_EUL_CRC_ERC!$B$17-Table1[[#This Row],[Year Installed_HP]]</f>
        <v>1</v>
      </c>
      <c r="W147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47" s="19">
        <f>[1]Input_EUL_CRC_ERC!$B$17-Table1[[#This Row],[Year Installed_PF]]</f>
        <v>1</v>
      </c>
      <c r="Y147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47" s="25">
        <f>IF(Table1[[#This Row],[Years_Next_Rehab_Well]]&lt;=0,VLOOKUP(Table1[[#This Row],[Item_Rehab_WL]],[1]!Table2[#All],3,FALSE),0)</f>
        <v>0</v>
      </c>
      <c r="AA147" s="18">
        <f>IF(Table1[[#This Row],[Adjusted_ULife_HP]]&lt;=0,VLOOKUP(Table1[[#This Row],[Item_Handpump]],[1]!Table2[#All],3,FALSE),0)</f>
        <v>0</v>
      </c>
      <c r="AB147" s="18">
        <f>IF(Table1[[#This Row],[Adjusted_ULife_PF]]&lt;=0,VLOOKUP(Table1[[#This Row],[Item_Platform]],[1]!Table2[#All],3,FALSE),0)</f>
        <v>0</v>
      </c>
      <c r="AC147" s="18">
        <f>SUM(Table1[[#This Row],[current yr_wl]:[current yr_pf]])</f>
        <v>0</v>
      </c>
      <c r="AD147" s="25">
        <f>IF(Table1[[#This Row],[Years_Next_Rehab_Well]]=1,VLOOKUP(Table1[[#This Row],[Item_Rehab_WL]],[1]!Table2[#All],4,FALSE),0)</f>
        <v>0</v>
      </c>
      <c r="AE147" s="25">
        <f>IF(Table1[[#This Row],[Adjusted_ULife_HP]]=1,VLOOKUP(Table1[[#This Row],[Item_Handpump]],[1]!Table2[#All],4,FALSE),0)</f>
        <v>0</v>
      </c>
      <c r="AF147" s="25">
        <f>IF(Table1[[#This Row],[Adjusted_ULife_PF]]=1,VLOOKUP(Table1[[#This Row],[Item_Platform]],[1]!Table2[#All],4,FALSE),0)</f>
        <v>0</v>
      </c>
      <c r="AG147" s="25">
        <f>SUM(Table1[[#This Row],[yr 1_wl]:[yr 1_pf]])</f>
        <v>0</v>
      </c>
      <c r="AH147" s="25">
        <f>IF(Table1[[#This Row],[Years_Next_Rehab_Well]]=2,VLOOKUP(Table1[[#This Row],[Item_Rehab_WL]],[1]!Table2[#All],5,FALSE),0)</f>
        <v>0</v>
      </c>
      <c r="AI147" s="25">
        <f>IF(Table1[[#This Row],[Adjusted_ULife_HP]]=2,VLOOKUP(Table1[[#This Row],[Item_Handpump]],[1]!Table2[#All],5,FALSE),0)</f>
        <v>0</v>
      </c>
      <c r="AJ147" s="25">
        <f>IF(Table1[[#This Row],[Adjusted_ULife_PF]]=2,VLOOKUP(Table1[[#This Row],[Item_Platform]],[1]!Table2[#All],5,FALSE),0)</f>
        <v>0</v>
      </c>
      <c r="AK147" s="25">
        <f>SUM(Table1[[#This Row],[yr 2_wl]:[yr 2_pf]])</f>
        <v>0</v>
      </c>
      <c r="AL147" s="25">
        <f>IF(Table1[[#This Row],[Years_Next_Rehab_Well]]=3,VLOOKUP(Table1[[#This Row],[Item_Rehab_WL]],[1]!Table2[#All],6,FALSE),0)</f>
        <v>0</v>
      </c>
      <c r="AM147" s="25">
        <f>IF(Table1[[#This Row],[Adjusted_ULife_HP]]=3,VLOOKUP(Table1[[#This Row],[Item_Handpump]],[1]!Table2[#All],6,FALSE),0)</f>
        <v>0</v>
      </c>
      <c r="AN147" s="25">
        <f>IF(Table1[[#This Row],[Adjusted_ULife_PF]]=3,VLOOKUP(Table1[[#This Row],[Item_Platform]],[1]!Table2[#All],6,FALSE),0)</f>
        <v>0</v>
      </c>
      <c r="AO147" s="25">
        <f>SUM(Table1[[#This Row],[yr 3_wl]:[yr 3_pf]])</f>
        <v>0</v>
      </c>
      <c r="AP147" s="25">
        <f>IF(Table1[[#This Row],[Years_Next_Rehab_Well]]=4,VLOOKUP(Table1[[#This Row],[Item_Rehab_WL]],[1]!Table2[#All],7,FALSE),0)</f>
        <v>0</v>
      </c>
      <c r="AQ147" s="25">
        <f>IF(Table1[[#This Row],[Adjusted_ULife_HP]]=4,VLOOKUP(Table1[[#This Row],[Item_Handpump]],[1]!Table2[#All],7,FALSE),0)</f>
        <v>0</v>
      </c>
      <c r="AR147" s="25">
        <f>IF(Table1[[#This Row],[Adjusted_ULife_PF]]=4,VLOOKUP(Table1[[#This Row],[Item_Platform]],[1]!Table2[#All],7,FALSE),0)</f>
        <v>0</v>
      </c>
      <c r="AS147" s="25">
        <f>SUM(Table1[[#This Row],[yr 4_wl]:[yr 4_pf]])</f>
        <v>0</v>
      </c>
      <c r="AT147" s="25">
        <f>IF(Table1[[#This Row],[Years_Next_Rehab_Well]]=5,VLOOKUP(Table1[[#This Row],[Item_Rehab_WL]],[1]!Table2[#All],8,FALSE),0)</f>
        <v>0</v>
      </c>
      <c r="AU147" s="25">
        <f>IF(Table1[[#This Row],[Adjusted_ULife_HP]]=5,VLOOKUP(Table1[[#This Row],[Item_Handpump]],[1]!Table2[#All],8,FALSE),0)</f>
        <v>0</v>
      </c>
      <c r="AV147" s="25">
        <f>IF(Table1[[#This Row],[Adjusted_ULife_PF]]=5,VLOOKUP(Table1[[#This Row],[Item_Platform]],[1]!Table2[#All],8,FALSE),0)</f>
        <v>0</v>
      </c>
      <c r="AW147" s="25">
        <f>SUM(Table1[[#This Row],[yr 5_wl]:[yr 5_pf]])</f>
        <v>0</v>
      </c>
      <c r="AX147" s="25">
        <f>IF(Table1[[#This Row],[Years_Next_Rehab_Well]]=6,VLOOKUP(Table1[[#This Row],[Item_Rehab_WL]],[1]!Table2[#All],9,FALSE),0)</f>
        <v>0</v>
      </c>
      <c r="AY147" s="25">
        <f>IF(Table1[[#This Row],[Adjusted_ULife_HP]]=6,VLOOKUP(Table1[[#This Row],[Item_Handpump]],[1]!Table2[#All],9,FALSE),0)</f>
        <v>0</v>
      </c>
      <c r="AZ147" s="25">
        <f>IF(Table1[[#This Row],[Adjusted_ULife_PF]]=6,VLOOKUP(Table1[[#This Row],[Item_Platform]],[1]!Table2[#All],9,FALSE),0)</f>
        <v>0</v>
      </c>
      <c r="BA147" s="25">
        <f>SUM(Table1[[#This Row],[yr 6_wl]:[yr 6_pf]])</f>
        <v>0</v>
      </c>
      <c r="BB147" s="25">
        <f>IF(Table1[[#This Row],[Years_Next_Rehab_Well]]=7,VLOOKUP(Table1[[#This Row],[Item_Rehab_WL]],[1]!Table2[#All],10,FALSE),0)</f>
        <v>0</v>
      </c>
      <c r="BC147" s="25">
        <f>IF(Table1[[#This Row],[Adjusted_ULife_HP]]=7,VLOOKUP(Table1[[#This Row],[Item_Handpump]],[1]!Table2[#All],10,FALSE),0)</f>
        <v>0</v>
      </c>
      <c r="BD147" s="25">
        <f>IF(Table1[[#This Row],[Adjusted_ULife_PF]]=7,VLOOKUP(Table1[[#This Row],[Item_Platform]],[1]!Table2[#All],10,FALSE),0)</f>
        <v>0</v>
      </c>
      <c r="BE147" s="25">
        <f>SUM(Table1[[#This Row],[yr 7_wl]:[yr 7_pf]])</f>
        <v>0</v>
      </c>
      <c r="BF147" s="25">
        <f>IF(Table1[[#This Row],[Years_Next_Rehab_Well]]=8,VLOOKUP(Table1[[#This Row],[Item_Rehab_WL]],[1]!Table2[#All],11,FALSE),0)</f>
        <v>0</v>
      </c>
      <c r="BG147" s="25">
        <f>IF(Table1[[#This Row],[Adjusted_ULife_HP]]=8,VLOOKUP(Table1[[#This Row],[Item_Handpump]],[1]!Table2[#All],11,FALSE),0)</f>
        <v>0</v>
      </c>
      <c r="BH147" s="25">
        <f>IF(Table1[[#This Row],[Adjusted_ULife_PF]]=8,VLOOKUP(Table1[[#This Row],[Item_Platform]],[1]!Table2[#All],11,FALSE),0)</f>
        <v>0</v>
      </c>
      <c r="BI147" s="25">
        <f>SUM(Table1[[#This Row],[yr 8_wl]:[yr 8_pf]])</f>
        <v>0</v>
      </c>
      <c r="BJ147" s="25">
        <f>IF(Table1[[#This Row],[Years_Next_Rehab_Well]]=9,VLOOKUP(Table1[[#This Row],[Item_Rehab_WL]],[1]!Table2[#All],12,FALSE),0)</f>
        <v>0</v>
      </c>
      <c r="BK147" s="25">
        <f>IF(Table1[[#This Row],[Adjusted_ULife_HP]]=9,VLOOKUP(Table1[[#This Row],[Item_Handpump]],[1]!Table2[#All],12,FALSE),0)</f>
        <v>0</v>
      </c>
      <c r="BL147" s="25">
        <f>IF(Table1[[#This Row],[Adjusted_ULife_PF]]=9,VLOOKUP(Table1[[#This Row],[Item_Platform]],[1]!Table2[#All],12,FALSE),0)</f>
        <v>4159.6181361752842</v>
      </c>
      <c r="BM147" s="25">
        <f>SUM(Table1[[#This Row],[yr 9_wl]:[yr 9_pf]])</f>
        <v>4159.6181361752842</v>
      </c>
      <c r="BN147" s="25">
        <f>IF(Table1[[#This Row],[Years_Next_Rehab_Well]]=10,VLOOKUP(Table1[[#This Row],[Item_Rehab_WL]],[1]!Table2[#All],13,FALSE),0)</f>
        <v>0</v>
      </c>
      <c r="BO147" s="25">
        <f>IF(Table1[[#This Row],[Adjusted_ULife_HP]]=10,VLOOKUP(Table1[[#This Row],[Item_Handpump]],[1]!Table2[#All],13,FALSE),0)</f>
        <v>0</v>
      </c>
      <c r="BP147" s="25">
        <f>IF(Table1[[#This Row],[Adjusted_ULife_PF]]=10,VLOOKUP(Table1[[#This Row],[Item_Platform]],[1]!Table2[#All],13,FALSE),0)</f>
        <v>0</v>
      </c>
      <c r="BQ147" s="25">
        <f>SUM(Table1[[#This Row],[yr 10_wl]:[yr 10_pf]])</f>
        <v>0</v>
      </c>
      <c r="BR147" s="25">
        <f>IF(Table1[[#This Row],[Years_Next_Rehab_Well]]=11,VLOOKUP(Table1[[#This Row],[Item_Rehab_WL]],[1]!Table2[#All],14,FALSE),0)</f>
        <v>0</v>
      </c>
      <c r="BS147" s="25">
        <f>IF(Table1[[#This Row],[Adjusted_ULife_HP]]=11,VLOOKUP(Table1[[#This Row],[Item_Handpump]],[1]!Table2[#All],14,FALSE),0)</f>
        <v>0</v>
      </c>
      <c r="BT147" s="25">
        <f>IF(Table1[[#This Row],[Adjusted_ULife_PF]]=11,VLOOKUP(Table1[[#This Row],[Item_Platform]],[1]!Table2[#All],14,FALSE),0)</f>
        <v>0</v>
      </c>
      <c r="BU147" s="25">
        <f>SUM(Table1[[#This Row],[yr 11_wl]:[yr 11_pf]])</f>
        <v>0</v>
      </c>
      <c r="BV147" s="25">
        <f>IF(Table1[[#This Row],[Years_Next_Rehab_Well]]=12,VLOOKUP(Table1[[#This Row],[Item_Rehab_WL]],[1]!Table2[#All],15,FALSE),0)</f>
        <v>0</v>
      </c>
      <c r="BW147" s="25">
        <f>IF(Table1[[#This Row],[Adjusted_ULife_HP]]=12,VLOOKUP(Table1[[#This Row],[Item_Handpump]],[1]!Table2[#All],15,FALSE),0)</f>
        <v>0</v>
      </c>
      <c r="BX147" s="25">
        <f>IF(Table1[[#This Row],[Adjusted_ULife_PF]]=12,VLOOKUP(Table1[[#This Row],[Item_Platform]],[1]!Table2[#All],15,FALSE),0)</f>
        <v>0</v>
      </c>
      <c r="BY147" s="25">
        <f>SUM(Table1[[#This Row],[yr 12_wl]:[yr 12_pf]])</f>
        <v>0</v>
      </c>
      <c r="BZ147" s="25">
        <f>IF(Table1[[#This Row],[Years_Next_Rehab_Well]]=13,VLOOKUP(Table1[[#This Row],[Item_Rehab_WL]],[1]!Table2[#All],16,FALSE),0)</f>
        <v>0</v>
      </c>
      <c r="CA147" s="25">
        <f>IF(Table1[[#This Row],[Adjusted_ULife_HP]]=13,VLOOKUP(Table1[[#This Row],[Item_Handpump]],[1]!Table2[#All],16,FALSE),0)</f>
        <v>0</v>
      </c>
      <c r="CB147" s="25">
        <f>IF(Table1[[#This Row],[Adjusted_ULife_PF]]=13,VLOOKUP(Table1[[#This Row],[Item_Platform]],[1]!Table2[#All],16,FALSE),0)</f>
        <v>0</v>
      </c>
      <c r="CC147" s="25">
        <f>SUM(Table1[[#This Row],[yr 13_wl]:[yr 13_pf]])</f>
        <v>0</v>
      </c>
      <c r="CD147" s="12"/>
    </row>
    <row r="148" spans="1:82" s="11" customFormat="1" x14ac:dyDescent="0.25">
      <c r="A148" s="11" t="str">
        <f>IF([1]Input_monitoring_data!A144="","",[1]Input_monitoring_data!A144)</f>
        <v>t986-q3dd-a54w</v>
      </c>
      <c r="B148" s="22" t="str">
        <f>[1]Input_monitoring_data!BH144</f>
        <v>KENYASI NO.2</v>
      </c>
      <c r="C148" s="22" t="str">
        <f>[1]Input_monitoring_data!BI144</f>
        <v>KENYASI NO.2</v>
      </c>
      <c r="D148" s="22" t="str">
        <f>[1]Input_monitoring_data!P144</f>
        <v>7.01202808081861</v>
      </c>
      <c r="E148" s="22" t="str">
        <f>[1]Input_monitoring_data!Q144</f>
        <v>-2.3701005862822675</v>
      </c>
      <c r="F148" s="22" t="str">
        <f>[1]Input_monitoring_data!V144</f>
        <v>Near Awulekia Abansonba House</v>
      </c>
      <c r="G148" s="23" t="str">
        <f>[1]Input_monitoring_data!U144</f>
        <v>Borehole</v>
      </c>
      <c r="H148" s="22">
        <f>[1]Input_monitoring_data!X144</f>
        <v>2010</v>
      </c>
      <c r="I148" s="21" t="str">
        <f>[1]Input_monitoring_data!AB144</f>
        <v>Borehole redevelopment</v>
      </c>
      <c r="J148" s="21">
        <f>[1]Input_monitoring_data!AC144</f>
        <v>0</v>
      </c>
      <c r="K148" s="23" t="str">
        <f>[1]Input_monitoring_data!W144</f>
        <v>AfriDev</v>
      </c>
      <c r="L148" s="22">
        <f>[1]Input_monitoring_data!X144</f>
        <v>2010</v>
      </c>
      <c r="M148" s="21" t="str">
        <f>IF([1]Input_monitoring_data!BL144&gt;'Point Sources_Asset_Register_'!L148,[1]Input_monitoring_data!BL144,"")</f>
        <v/>
      </c>
      <c r="N148" s="22" t="str">
        <f>[1]Input_monitoring_data!BQ144</f>
        <v>functional</v>
      </c>
      <c r="O148" s="22">
        <f>[1]Input_monitoring_data!AJ144</f>
        <v>0</v>
      </c>
      <c r="P148" s="23" t="s">
        <v>0</v>
      </c>
      <c r="Q148" s="22">
        <f>L148</f>
        <v>2010</v>
      </c>
      <c r="R148" s="21" t="str">
        <f>M148</f>
        <v/>
      </c>
      <c r="S148" s="20">
        <f>[1]Input_EUL_CRC_ERC!$B$17-Table1[[#This Row],[Year Installed_WL]]</f>
        <v>7</v>
      </c>
      <c r="T148" s="20">
        <f>[1]Input_EUL_CRC_ERC!$B$17-(IF(Table1[[#This Row],[Year Last_Rehab_WL ]]=0,Table1[[#This Row],[Year Installed_WL]],[1]Input_EUL_CRC_ERC!$B$17-Table1[[#This Row],[Year Last_Rehab_WL ]]))</f>
        <v>7</v>
      </c>
      <c r="U148" s="20">
        <f>(VLOOKUP(Table1[[#This Row],[Item_Rehab_WL]],[1]Input_EUL_CRC_ERC!$C$17:$E$27,2,FALSE)-Table1[[#This Row],[Last Rehab Age]])</f>
        <v>8</v>
      </c>
      <c r="V148" s="19">
        <f>[1]Input_EUL_CRC_ERC!$B$17-Table1[[#This Row],[Year Installed_HP]]</f>
        <v>7</v>
      </c>
      <c r="W148" s="19">
        <f>(VLOOKUP(Table1[[#This Row],[Item_Handpump]],[1]!Table2[#All],2,FALSE))-(IF(Table1[[#This Row],[Year Last_Rehab_HP]]="",Table1[[#This Row],[Current Age_Handpump]],[1]Input_EUL_CRC_ERC!$B$17-Table1[[#This Row],[Year Last_Rehab_HP]]))</f>
        <v>13</v>
      </c>
      <c r="X148" s="19">
        <f>[1]Input_EUL_CRC_ERC!$B$17-Table1[[#This Row],[Year Installed_PF]]</f>
        <v>7</v>
      </c>
      <c r="Y148" s="19">
        <f>(VLOOKUP(Table1[[#This Row],[Item_Platform]],[1]!Table2[#All],2,FALSE))-(IF(Table1[[#This Row],[Year Last_Rehab_PF]]="",Table1[[#This Row],[Current Age_Platform]],[1]Input_EUL_CRC_ERC!$B$17-Table1[[#This Row],[Year Last_Rehab_PF]]))</f>
        <v>3</v>
      </c>
      <c r="Z148" s="25">
        <f>IF(Table1[[#This Row],[Years_Next_Rehab_Well]]&lt;=0,VLOOKUP(Table1[[#This Row],[Item_Rehab_WL]],[1]!Table2[#All],3,FALSE),0)</f>
        <v>0</v>
      </c>
      <c r="AA148" s="18">
        <f>IF(Table1[[#This Row],[Adjusted_ULife_HP]]&lt;=0,VLOOKUP(Table1[[#This Row],[Item_Handpump]],[1]!Table2[#All],3,FALSE),0)</f>
        <v>0</v>
      </c>
      <c r="AB148" s="18">
        <f>IF(Table1[[#This Row],[Adjusted_ULife_PF]]&lt;=0,VLOOKUP(Table1[[#This Row],[Item_Platform]],[1]!Table2[#All],3,FALSE),0)</f>
        <v>0</v>
      </c>
      <c r="AC148" s="18">
        <f>SUM(Table1[[#This Row],[current yr_wl]:[current yr_pf]])</f>
        <v>0</v>
      </c>
      <c r="AD148" s="25">
        <f>IF(Table1[[#This Row],[Years_Next_Rehab_Well]]=1,VLOOKUP(Table1[[#This Row],[Item_Rehab_WL]],[1]!Table2[#All],4,FALSE),0)</f>
        <v>0</v>
      </c>
      <c r="AE148" s="25">
        <f>IF(Table1[[#This Row],[Adjusted_ULife_HP]]=1,VLOOKUP(Table1[[#This Row],[Item_Handpump]],[1]!Table2[#All],4,FALSE),0)</f>
        <v>0</v>
      </c>
      <c r="AF148" s="25">
        <f>IF(Table1[[#This Row],[Adjusted_ULife_PF]]=1,VLOOKUP(Table1[[#This Row],[Item_Platform]],[1]!Table2[#All],4,FALSE),0)</f>
        <v>0</v>
      </c>
      <c r="AG148" s="25">
        <f>SUM(Table1[[#This Row],[yr 1_wl]:[yr 1_pf]])</f>
        <v>0</v>
      </c>
      <c r="AH148" s="25">
        <f>IF(Table1[[#This Row],[Years_Next_Rehab_Well]]=2,VLOOKUP(Table1[[#This Row],[Item_Rehab_WL]],[1]!Table2[#All],5,FALSE),0)</f>
        <v>0</v>
      </c>
      <c r="AI148" s="25">
        <f>IF(Table1[[#This Row],[Adjusted_ULife_HP]]=2,VLOOKUP(Table1[[#This Row],[Item_Handpump]],[1]!Table2[#All],5,FALSE),0)</f>
        <v>0</v>
      </c>
      <c r="AJ148" s="25">
        <f>IF(Table1[[#This Row],[Adjusted_ULife_PF]]=2,VLOOKUP(Table1[[#This Row],[Item_Platform]],[1]!Table2[#All],5,FALSE),0)</f>
        <v>0</v>
      </c>
      <c r="AK148" s="25">
        <f>SUM(Table1[[#This Row],[yr 2_wl]:[yr 2_pf]])</f>
        <v>0</v>
      </c>
      <c r="AL148" s="25">
        <f>IF(Table1[[#This Row],[Years_Next_Rehab_Well]]=3,VLOOKUP(Table1[[#This Row],[Item_Rehab_WL]],[1]!Table2[#All],6,FALSE),0)</f>
        <v>0</v>
      </c>
      <c r="AM148" s="25">
        <f>IF(Table1[[#This Row],[Adjusted_ULife_HP]]=3,VLOOKUP(Table1[[#This Row],[Item_Handpump]],[1]!Table2[#All],6,FALSE),0)</f>
        <v>0</v>
      </c>
      <c r="AN148" s="25">
        <f>IF(Table1[[#This Row],[Adjusted_ULife_PF]]=3,VLOOKUP(Table1[[#This Row],[Item_Platform]],[1]!Table2[#All],6,FALSE),0)</f>
        <v>2107.3920000000007</v>
      </c>
      <c r="AO148" s="25">
        <f>SUM(Table1[[#This Row],[yr 3_wl]:[yr 3_pf]])</f>
        <v>2107.3920000000007</v>
      </c>
      <c r="AP148" s="25">
        <f>IF(Table1[[#This Row],[Years_Next_Rehab_Well]]=4,VLOOKUP(Table1[[#This Row],[Item_Rehab_WL]],[1]!Table2[#All],7,FALSE),0)</f>
        <v>0</v>
      </c>
      <c r="AQ148" s="25">
        <f>IF(Table1[[#This Row],[Adjusted_ULife_HP]]=4,VLOOKUP(Table1[[#This Row],[Item_Handpump]],[1]!Table2[#All],7,FALSE),0)</f>
        <v>0</v>
      </c>
      <c r="AR148" s="25">
        <f>IF(Table1[[#This Row],[Adjusted_ULife_PF]]=4,VLOOKUP(Table1[[#This Row],[Item_Platform]],[1]!Table2[#All],7,FALSE),0)</f>
        <v>0</v>
      </c>
      <c r="AS148" s="25">
        <f>SUM(Table1[[#This Row],[yr 4_wl]:[yr 4_pf]])</f>
        <v>0</v>
      </c>
      <c r="AT148" s="25">
        <f>IF(Table1[[#This Row],[Years_Next_Rehab_Well]]=5,VLOOKUP(Table1[[#This Row],[Item_Rehab_WL]],[1]!Table2[#All],8,FALSE),0)</f>
        <v>0</v>
      </c>
      <c r="AU148" s="25">
        <f>IF(Table1[[#This Row],[Adjusted_ULife_HP]]=5,VLOOKUP(Table1[[#This Row],[Item_Handpump]],[1]!Table2[#All],8,FALSE),0)</f>
        <v>0</v>
      </c>
      <c r="AV148" s="25">
        <f>IF(Table1[[#This Row],[Adjusted_ULife_PF]]=5,VLOOKUP(Table1[[#This Row],[Item_Platform]],[1]!Table2[#All],8,FALSE),0)</f>
        <v>0</v>
      </c>
      <c r="AW148" s="25">
        <f>SUM(Table1[[#This Row],[yr 5_wl]:[yr 5_pf]])</f>
        <v>0</v>
      </c>
      <c r="AX148" s="25">
        <f>IF(Table1[[#This Row],[Years_Next_Rehab_Well]]=6,VLOOKUP(Table1[[#This Row],[Item_Rehab_WL]],[1]!Table2[#All],9,FALSE),0)</f>
        <v>0</v>
      </c>
      <c r="AY148" s="25">
        <f>IF(Table1[[#This Row],[Adjusted_ULife_HP]]=6,VLOOKUP(Table1[[#This Row],[Item_Handpump]],[1]!Table2[#All],9,FALSE),0)</f>
        <v>0</v>
      </c>
      <c r="AZ148" s="25">
        <f>IF(Table1[[#This Row],[Adjusted_ULife_PF]]=6,VLOOKUP(Table1[[#This Row],[Item_Platform]],[1]!Table2[#All],9,FALSE),0)</f>
        <v>0</v>
      </c>
      <c r="BA148" s="25">
        <f>SUM(Table1[[#This Row],[yr 6_wl]:[yr 6_pf]])</f>
        <v>0</v>
      </c>
      <c r="BB148" s="25">
        <f>IF(Table1[[#This Row],[Years_Next_Rehab_Well]]=7,VLOOKUP(Table1[[#This Row],[Item_Rehab_WL]],[1]!Table2[#All],10,FALSE),0)</f>
        <v>0</v>
      </c>
      <c r="BC148" s="25">
        <f>IF(Table1[[#This Row],[Adjusted_ULife_HP]]=7,VLOOKUP(Table1[[#This Row],[Item_Handpump]],[1]!Table2[#All],10,FALSE),0)</f>
        <v>0</v>
      </c>
      <c r="BD148" s="25">
        <f>IF(Table1[[#This Row],[Adjusted_ULife_PF]]=7,VLOOKUP(Table1[[#This Row],[Item_Platform]],[1]!Table2[#All],10,FALSE),0)</f>
        <v>0</v>
      </c>
      <c r="BE148" s="25">
        <f>SUM(Table1[[#This Row],[yr 7_wl]:[yr 7_pf]])</f>
        <v>0</v>
      </c>
      <c r="BF148" s="25">
        <f>IF(Table1[[#This Row],[Years_Next_Rehab_Well]]=8,VLOOKUP(Table1[[#This Row],[Item_Rehab_WL]],[1]!Table2[#All],11,FALSE),0)</f>
        <v>9078.5316464143089</v>
      </c>
      <c r="BG148" s="25">
        <f>IF(Table1[[#This Row],[Adjusted_ULife_HP]]=8,VLOOKUP(Table1[[#This Row],[Item_Handpump]],[1]!Table2[#All],11,FALSE),0)</f>
        <v>0</v>
      </c>
      <c r="BH148" s="25">
        <f>IF(Table1[[#This Row],[Adjusted_ULife_PF]]=8,VLOOKUP(Table1[[#This Row],[Item_Platform]],[1]!Table2[#All],11,FALSE),0)</f>
        <v>0</v>
      </c>
      <c r="BI148" s="25">
        <f>SUM(Table1[[#This Row],[yr 8_wl]:[yr 8_pf]])</f>
        <v>9078.5316464143089</v>
      </c>
      <c r="BJ148" s="25">
        <f>IF(Table1[[#This Row],[Years_Next_Rehab_Well]]=9,VLOOKUP(Table1[[#This Row],[Item_Rehab_WL]],[1]!Table2[#All],12,FALSE),0)</f>
        <v>0</v>
      </c>
      <c r="BK148" s="25">
        <f>IF(Table1[[#This Row],[Adjusted_ULife_HP]]=9,VLOOKUP(Table1[[#This Row],[Item_Handpump]],[1]!Table2[#All],12,FALSE),0)</f>
        <v>0</v>
      </c>
      <c r="BL148" s="25">
        <f>IF(Table1[[#This Row],[Adjusted_ULife_PF]]=9,VLOOKUP(Table1[[#This Row],[Item_Platform]],[1]!Table2[#All],12,FALSE),0)</f>
        <v>0</v>
      </c>
      <c r="BM148" s="25">
        <f>SUM(Table1[[#This Row],[yr 9_wl]:[yr 9_pf]])</f>
        <v>0</v>
      </c>
      <c r="BN148" s="25">
        <f>IF(Table1[[#This Row],[Years_Next_Rehab_Well]]=10,VLOOKUP(Table1[[#This Row],[Item_Rehab_WL]],[1]!Table2[#All],13,FALSE),0)</f>
        <v>0</v>
      </c>
      <c r="BO148" s="25">
        <f>IF(Table1[[#This Row],[Adjusted_ULife_HP]]=10,VLOOKUP(Table1[[#This Row],[Item_Handpump]],[1]!Table2[#All],13,FALSE),0)</f>
        <v>0</v>
      </c>
      <c r="BP148" s="25">
        <f>IF(Table1[[#This Row],[Adjusted_ULife_PF]]=10,VLOOKUP(Table1[[#This Row],[Item_Platform]],[1]!Table2[#All],13,FALSE),0)</f>
        <v>0</v>
      </c>
      <c r="BQ148" s="25">
        <f>SUM(Table1[[#This Row],[yr 10_wl]:[yr 10_pf]])</f>
        <v>0</v>
      </c>
      <c r="BR148" s="25">
        <f>IF(Table1[[#This Row],[Years_Next_Rehab_Well]]=11,VLOOKUP(Table1[[#This Row],[Item_Rehab_WL]],[1]!Table2[#All],14,FALSE),0)</f>
        <v>0</v>
      </c>
      <c r="BS148" s="25">
        <f>IF(Table1[[#This Row],[Adjusted_ULife_HP]]=11,VLOOKUP(Table1[[#This Row],[Item_Handpump]],[1]!Table2[#All],14,FALSE),0)</f>
        <v>0</v>
      </c>
      <c r="BT148" s="25">
        <f>IF(Table1[[#This Row],[Adjusted_ULife_PF]]=11,VLOOKUP(Table1[[#This Row],[Item_Platform]],[1]!Table2[#All],14,FALSE),0)</f>
        <v>0</v>
      </c>
      <c r="BU148" s="25">
        <f>SUM(Table1[[#This Row],[yr 11_wl]:[yr 11_pf]])</f>
        <v>0</v>
      </c>
      <c r="BV148" s="25">
        <f>IF(Table1[[#This Row],[Years_Next_Rehab_Well]]=12,VLOOKUP(Table1[[#This Row],[Item_Rehab_WL]],[1]!Table2[#All],15,FALSE),0)</f>
        <v>0</v>
      </c>
      <c r="BW148" s="25">
        <f>IF(Table1[[#This Row],[Adjusted_ULife_HP]]=12,VLOOKUP(Table1[[#This Row],[Item_Handpump]],[1]!Table2[#All],15,FALSE),0)</f>
        <v>0</v>
      </c>
      <c r="BX148" s="25">
        <f>IF(Table1[[#This Row],[Adjusted_ULife_PF]]=12,VLOOKUP(Table1[[#This Row],[Item_Platform]],[1]!Table2[#All],15,FALSE),0)</f>
        <v>0</v>
      </c>
      <c r="BY148" s="25">
        <f>SUM(Table1[[#This Row],[yr 12_wl]:[yr 12_pf]])</f>
        <v>0</v>
      </c>
      <c r="BZ148" s="25">
        <f>IF(Table1[[#This Row],[Years_Next_Rehab_Well]]=13,VLOOKUP(Table1[[#This Row],[Item_Rehab_WL]],[1]!Table2[#All],16,FALSE),0)</f>
        <v>0</v>
      </c>
      <c r="CA148" s="25">
        <f>IF(Table1[[#This Row],[Adjusted_ULife_HP]]=13,VLOOKUP(Table1[[#This Row],[Item_Handpump]],[1]!Table2[#All],16,FALSE),0)</f>
        <v>1745.3972446610471</v>
      </c>
      <c r="CB148" s="25">
        <f>IF(Table1[[#This Row],[Adjusted_ULife_PF]]=13,VLOOKUP(Table1[[#This Row],[Item_Platform]],[1]!Table2[#All],16,FALSE),0)</f>
        <v>0</v>
      </c>
      <c r="CC148" s="25">
        <f>SUM(Table1[[#This Row],[yr 13_wl]:[yr 13_pf]])</f>
        <v>1745.3972446610471</v>
      </c>
      <c r="CD148" s="12"/>
    </row>
    <row r="149" spans="1:82" s="11" customFormat="1" x14ac:dyDescent="0.25">
      <c r="A149" s="11" t="str">
        <f>IF([1]Input_monitoring_data!A145="","",[1]Input_monitoring_data!A145)</f>
        <v>thj7-63dh-2um6</v>
      </c>
      <c r="B149" s="22" t="str">
        <f>[1]Input_monitoring_data!BH145</f>
        <v>Gambia</v>
      </c>
      <c r="C149" s="22" t="str">
        <f>[1]Input_monitoring_data!BI145</f>
        <v>Onyinase</v>
      </c>
      <c r="D149" s="22" t="str">
        <f>[1]Input_monitoring_data!P145</f>
        <v>7.017543219155269</v>
      </c>
      <c r="E149" s="22" t="str">
        <f>[1]Input_monitoring_data!Q145</f>
        <v>-2.716813153369687</v>
      </c>
      <c r="F149" s="22" t="str">
        <f>[1]Input_monitoring_data!V145</f>
        <v>Near Agya Peter's House</v>
      </c>
      <c r="G149" s="23" t="str">
        <f>[1]Input_monitoring_data!U145</f>
        <v>Borehole</v>
      </c>
      <c r="H149" s="22">
        <f>[1]Input_monitoring_data!X145</f>
        <v>2003</v>
      </c>
      <c r="I149" s="21" t="str">
        <f>[1]Input_monitoring_data!AB145</f>
        <v>Borehole redevelopment</v>
      </c>
      <c r="J149" s="21">
        <f>[1]Input_monitoring_data!AC145</f>
        <v>0</v>
      </c>
      <c r="K149" s="23" t="str">
        <f>[1]Input_monitoring_data!W145</f>
        <v>AfriDev</v>
      </c>
      <c r="L149" s="22">
        <f>[1]Input_monitoring_data!X145</f>
        <v>2003</v>
      </c>
      <c r="M149" s="21" t="str">
        <f>IF([1]Input_monitoring_data!BL145&gt;'Point Sources_Asset_Register_'!L149,[1]Input_monitoring_data!BL145,"")</f>
        <v/>
      </c>
      <c r="N149" s="22" t="str">
        <f>[1]Input_monitoring_data!BQ145</f>
        <v>functional</v>
      </c>
      <c r="O149" s="22" t="str">
        <f>[1]Input_monitoring_data!AJ145</f>
        <v>facility under repair</v>
      </c>
      <c r="P149" s="23" t="s">
        <v>0</v>
      </c>
      <c r="Q149" s="22">
        <f>L149</f>
        <v>2003</v>
      </c>
      <c r="R149" s="21" t="str">
        <f>M149</f>
        <v/>
      </c>
      <c r="S149" s="20">
        <f>[1]Input_EUL_CRC_ERC!$B$17-Table1[[#This Row],[Year Installed_WL]]</f>
        <v>14</v>
      </c>
      <c r="T149" s="20">
        <f>[1]Input_EUL_CRC_ERC!$B$17-(IF(Table1[[#This Row],[Year Last_Rehab_WL ]]=0,Table1[[#This Row],[Year Installed_WL]],[1]Input_EUL_CRC_ERC!$B$17-Table1[[#This Row],[Year Last_Rehab_WL ]]))</f>
        <v>14</v>
      </c>
      <c r="U149" s="20">
        <f>(VLOOKUP(Table1[[#This Row],[Item_Rehab_WL]],[1]Input_EUL_CRC_ERC!$C$17:$E$27,2,FALSE)-Table1[[#This Row],[Last Rehab Age]])</f>
        <v>1</v>
      </c>
      <c r="V149" s="19">
        <f>[1]Input_EUL_CRC_ERC!$B$17-Table1[[#This Row],[Year Installed_HP]]</f>
        <v>14</v>
      </c>
      <c r="W149" s="19">
        <f>(VLOOKUP(Table1[[#This Row],[Item_Handpump]],[1]!Table2[#All],2,FALSE))-(IF(Table1[[#This Row],[Year Last_Rehab_HP]]="",Table1[[#This Row],[Current Age_Handpump]],[1]Input_EUL_CRC_ERC!$B$17-Table1[[#This Row],[Year Last_Rehab_HP]]))</f>
        <v>6</v>
      </c>
      <c r="X149" s="19">
        <f>[1]Input_EUL_CRC_ERC!$B$17-Table1[[#This Row],[Year Installed_PF]]</f>
        <v>14</v>
      </c>
      <c r="Y149" s="19">
        <f>(VLOOKUP(Table1[[#This Row],[Item_Platform]],[1]!Table2[#All],2,FALSE))-(IF(Table1[[#This Row],[Year Last_Rehab_PF]]="",Table1[[#This Row],[Current Age_Platform]],[1]Input_EUL_CRC_ERC!$B$17-Table1[[#This Row],[Year Last_Rehab_PF]]))</f>
        <v>-4</v>
      </c>
      <c r="Z149" s="25">
        <f>IF(Table1[[#This Row],[Years_Next_Rehab_Well]]&lt;=0,VLOOKUP(Table1[[#This Row],[Item_Rehab_WL]],[1]!Table2[#All],3,FALSE),0)</f>
        <v>0</v>
      </c>
      <c r="AA149" s="18">
        <f>IF(Table1[[#This Row],[Adjusted_ULife_HP]]&lt;=0,VLOOKUP(Table1[[#This Row],[Item_Handpump]],[1]!Table2[#All],3,FALSE),0)</f>
        <v>0</v>
      </c>
      <c r="AB149" s="18">
        <f>IF(Table1[[#This Row],[Adjusted_ULife_PF]]&lt;=0,VLOOKUP(Table1[[#This Row],[Item_Platform]],[1]!Table2[#All],3,FALSE),0)</f>
        <v>1500</v>
      </c>
      <c r="AC149" s="18">
        <f>SUM(Table1[[#This Row],[current yr_wl]:[current yr_pf]])</f>
        <v>1500</v>
      </c>
      <c r="AD149" s="25">
        <f>IF(Table1[[#This Row],[Years_Next_Rehab_Well]]=1,VLOOKUP(Table1[[#This Row],[Item_Rehab_WL]],[1]!Table2[#All],4,FALSE),0)</f>
        <v>4106.666666666667</v>
      </c>
      <c r="AE149" s="25">
        <f>IF(Table1[[#This Row],[Adjusted_ULife_HP]]=1,VLOOKUP(Table1[[#This Row],[Item_Handpump]],[1]!Table2[#All],4,FALSE),0)</f>
        <v>0</v>
      </c>
      <c r="AF149" s="25">
        <f>IF(Table1[[#This Row],[Adjusted_ULife_PF]]=1,VLOOKUP(Table1[[#This Row],[Item_Platform]],[1]!Table2[#All],4,FALSE),0)</f>
        <v>0</v>
      </c>
      <c r="AG149" s="25">
        <f>SUM(Table1[[#This Row],[yr 1_wl]:[yr 1_pf]])</f>
        <v>4106.666666666667</v>
      </c>
      <c r="AH149" s="25">
        <f>IF(Table1[[#This Row],[Years_Next_Rehab_Well]]=2,VLOOKUP(Table1[[#This Row],[Item_Rehab_WL]],[1]!Table2[#All],5,FALSE),0)</f>
        <v>0</v>
      </c>
      <c r="AI149" s="25">
        <f>IF(Table1[[#This Row],[Adjusted_ULife_HP]]=2,VLOOKUP(Table1[[#This Row],[Item_Handpump]],[1]!Table2[#All],5,FALSE),0)</f>
        <v>0</v>
      </c>
      <c r="AJ149" s="25">
        <f>IF(Table1[[#This Row],[Adjusted_ULife_PF]]=2,VLOOKUP(Table1[[#This Row],[Item_Platform]],[1]!Table2[#All],5,FALSE),0)</f>
        <v>0</v>
      </c>
      <c r="AK149" s="25">
        <f>SUM(Table1[[#This Row],[yr 2_wl]:[yr 2_pf]])</f>
        <v>0</v>
      </c>
      <c r="AL149" s="25">
        <f>IF(Table1[[#This Row],[Years_Next_Rehab_Well]]=3,VLOOKUP(Table1[[#This Row],[Item_Rehab_WL]],[1]!Table2[#All],6,FALSE),0)</f>
        <v>0</v>
      </c>
      <c r="AM149" s="25">
        <f>IF(Table1[[#This Row],[Adjusted_ULife_HP]]=3,VLOOKUP(Table1[[#This Row],[Item_Handpump]],[1]!Table2[#All],6,FALSE),0)</f>
        <v>0</v>
      </c>
      <c r="AN149" s="25">
        <f>IF(Table1[[#This Row],[Adjusted_ULife_PF]]=3,VLOOKUP(Table1[[#This Row],[Item_Platform]],[1]!Table2[#All],6,FALSE),0)</f>
        <v>0</v>
      </c>
      <c r="AO149" s="25">
        <f>SUM(Table1[[#This Row],[yr 3_wl]:[yr 3_pf]])</f>
        <v>0</v>
      </c>
      <c r="AP149" s="25">
        <f>IF(Table1[[#This Row],[Years_Next_Rehab_Well]]=4,VLOOKUP(Table1[[#This Row],[Item_Rehab_WL]],[1]!Table2[#All],7,FALSE),0)</f>
        <v>0</v>
      </c>
      <c r="AQ149" s="25">
        <f>IF(Table1[[#This Row],[Adjusted_ULife_HP]]=4,VLOOKUP(Table1[[#This Row],[Item_Handpump]],[1]!Table2[#All],7,FALSE),0)</f>
        <v>0</v>
      </c>
      <c r="AR149" s="25">
        <f>IF(Table1[[#This Row],[Adjusted_ULife_PF]]=4,VLOOKUP(Table1[[#This Row],[Item_Platform]],[1]!Table2[#All],7,FALSE),0)</f>
        <v>0</v>
      </c>
      <c r="AS149" s="25">
        <f>SUM(Table1[[#This Row],[yr 4_wl]:[yr 4_pf]])</f>
        <v>0</v>
      </c>
      <c r="AT149" s="25">
        <f>IF(Table1[[#This Row],[Years_Next_Rehab_Well]]=5,VLOOKUP(Table1[[#This Row],[Item_Rehab_WL]],[1]!Table2[#All],8,FALSE),0)</f>
        <v>0</v>
      </c>
      <c r="AU149" s="25">
        <f>IF(Table1[[#This Row],[Adjusted_ULife_HP]]=5,VLOOKUP(Table1[[#This Row],[Item_Handpump]],[1]!Table2[#All],8,FALSE),0)</f>
        <v>0</v>
      </c>
      <c r="AV149" s="25">
        <f>IF(Table1[[#This Row],[Adjusted_ULife_PF]]=5,VLOOKUP(Table1[[#This Row],[Item_Platform]],[1]!Table2[#All],8,FALSE),0)</f>
        <v>0</v>
      </c>
      <c r="AW149" s="25">
        <f>SUM(Table1[[#This Row],[yr 5_wl]:[yr 5_pf]])</f>
        <v>0</v>
      </c>
      <c r="AX149" s="25">
        <f>IF(Table1[[#This Row],[Years_Next_Rehab_Well]]=6,VLOOKUP(Table1[[#This Row],[Item_Rehab_WL]],[1]!Table2[#All],9,FALSE),0)</f>
        <v>0</v>
      </c>
      <c r="AY149" s="25">
        <f>IF(Table1[[#This Row],[Adjusted_ULife_HP]]=6,VLOOKUP(Table1[[#This Row],[Item_Handpump]],[1]!Table2[#All],9,FALSE),0)</f>
        <v>789.52907407360033</v>
      </c>
      <c r="AZ149" s="25">
        <f>IF(Table1[[#This Row],[Adjusted_ULife_PF]]=6,VLOOKUP(Table1[[#This Row],[Item_Platform]],[1]!Table2[#All],9,FALSE),0)</f>
        <v>0</v>
      </c>
      <c r="BA149" s="25">
        <f>SUM(Table1[[#This Row],[yr 6_wl]:[yr 6_pf]])</f>
        <v>789.52907407360033</v>
      </c>
      <c r="BB149" s="25">
        <f>IF(Table1[[#This Row],[Years_Next_Rehab_Well]]=7,VLOOKUP(Table1[[#This Row],[Item_Rehab_WL]],[1]!Table2[#All],10,FALSE),0)</f>
        <v>0</v>
      </c>
      <c r="BC149" s="25">
        <f>IF(Table1[[#This Row],[Adjusted_ULife_HP]]=7,VLOOKUP(Table1[[#This Row],[Item_Handpump]],[1]!Table2[#All],10,FALSE),0)</f>
        <v>0</v>
      </c>
      <c r="BD149" s="25">
        <f>IF(Table1[[#This Row],[Adjusted_ULife_PF]]=7,VLOOKUP(Table1[[#This Row],[Item_Platform]],[1]!Table2[#All],10,FALSE),0)</f>
        <v>0</v>
      </c>
      <c r="BE149" s="25">
        <f>SUM(Table1[[#This Row],[yr 7_wl]:[yr 7_pf]])</f>
        <v>0</v>
      </c>
      <c r="BF149" s="25">
        <f>IF(Table1[[#This Row],[Years_Next_Rehab_Well]]=8,VLOOKUP(Table1[[#This Row],[Item_Rehab_WL]],[1]!Table2[#All],11,FALSE),0)</f>
        <v>0</v>
      </c>
      <c r="BG149" s="25">
        <f>IF(Table1[[#This Row],[Adjusted_ULife_HP]]=8,VLOOKUP(Table1[[#This Row],[Item_Handpump]],[1]!Table2[#All],11,FALSE),0)</f>
        <v>0</v>
      </c>
      <c r="BH149" s="25">
        <f>IF(Table1[[#This Row],[Adjusted_ULife_PF]]=8,VLOOKUP(Table1[[#This Row],[Item_Platform]],[1]!Table2[#All],11,FALSE),0)</f>
        <v>0</v>
      </c>
      <c r="BI149" s="25">
        <f>SUM(Table1[[#This Row],[yr 8_wl]:[yr 8_pf]])</f>
        <v>0</v>
      </c>
      <c r="BJ149" s="25">
        <f>IF(Table1[[#This Row],[Years_Next_Rehab_Well]]=9,VLOOKUP(Table1[[#This Row],[Item_Rehab_WL]],[1]!Table2[#All],12,FALSE),0)</f>
        <v>0</v>
      </c>
      <c r="BK149" s="25">
        <f>IF(Table1[[#This Row],[Adjusted_ULife_HP]]=9,VLOOKUP(Table1[[#This Row],[Item_Handpump]],[1]!Table2[#All],12,FALSE),0)</f>
        <v>0</v>
      </c>
      <c r="BL149" s="25">
        <f>IF(Table1[[#This Row],[Adjusted_ULife_PF]]=9,VLOOKUP(Table1[[#This Row],[Item_Platform]],[1]!Table2[#All],12,FALSE),0)</f>
        <v>0</v>
      </c>
      <c r="BM149" s="25">
        <f>SUM(Table1[[#This Row],[yr 9_wl]:[yr 9_pf]])</f>
        <v>0</v>
      </c>
      <c r="BN149" s="25">
        <f>IF(Table1[[#This Row],[Years_Next_Rehab_Well]]=10,VLOOKUP(Table1[[#This Row],[Item_Rehab_WL]],[1]!Table2[#All],13,FALSE),0)</f>
        <v>0</v>
      </c>
      <c r="BO149" s="25">
        <f>IF(Table1[[#This Row],[Adjusted_ULife_HP]]=10,VLOOKUP(Table1[[#This Row],[Item_Handpump]],[1]!Table2[#All],13,FALSE),0)</f>
        <v>0</v>
      </c>
      <c r="BP149" s="25">
        <f>IF(Table1[[#This Row],[Adjusted_ULife_PF]]=10,VLOOKUP(Table1[[#This Row],[Item_Platform]],[1]!Table2[#All],13,FALSE),0)</f>
        <v>0</v>
      </c>
      <c r="BQ149" s="25">
        <f>SUM(Table1[[#This Row],[yr 10_wl]:[yr 10_pf]])</f>
        <v>0</v>
      </c>
      <c r="BR149" s="25">
        <f>IF(Table1[[#This Row],[Years_Next_Rehab_Well]]=11,VLOOKUP(Table1[[#This Row],[Item_Rehab_WL]],[1]!Table2[#All],14,FALSE),0)</f>
        <v>0</v>
      </c>
      <c r="BS149" s="25">
        <f>IF(Table1[[#This Row],[Adjusted_ULife_HP]]=11,VLOOKUP(Table1[[#This Row],[Item_Handpump]],[1]!Table2[#All],14,FALSE),0)</f>
        <v>0</v>
      </c>
      <c r="BT149" s="25">
        <f>IF(Table1[[#This Row],[Adjusted_ULife_PF]]=11,VLOOKUP(Table1[[#This Row],[Item_Platform]],[1]!Table2[#All],14,FALSE),0)</f>
        <v>0</v>
      </c>
      <c r="BU149" s="25">
        <f>SUM(Table1[[#This Row],[yr 11_wl]:[yr 11_pf]])</f>
        <v>0</v>
      </c>
      <c r="BV149" s="25">
        <f>IF(Table1[[#This Row],[Years_Next_Rehab_Well]]=12,VLOOKUP(Table1[[#This Row],[Item_Rehab_WL]],[1]!Table2[#All],15,FALSE),0)</f>
        <v>0</v>
      </c>
      <c r="BW149" s="25">
        <f>IF(Table1[[#This Row],[Adjusted_ULife_HP]]=12,VLOOKUP(Table1[[#This Row],[Item_Handpump]],[1]!Table2[#All],15,FALSE),0)</f>
        <v>0</v>
      </c>
      <c r="BX149" s="25">
        <f>IF(Table1[[#This Row],[Adjusted_ULife_PF]]=12,VLOOKUP(Table1[[#This Row],[Item_Platform]],[1]!Table2[#All],15,FALSE),0)</f>
        <v>0</v>
      </c>
      <c r="BY149" s="25">
        <f>SUM(Table1[[#This Row],[yr 12_wl]:[yr 12_pf]])</f>
        <v>0</v>
      </c>
      <c r="BZ149" s="25">
        <f>IF(Table1[[#This Row],[Years_Next_Rehab_Well]]=13,VLOOKUP(Table1[[#This Row],[Item_Rehab_WL]],[1]!Table2[#All],16,FALSE),0)</f>
        <v>0</v>
      </c>
      <c r="CA149" s="25">
        <f>IF(Table1[[#This Row],[Adjusted_ULife_HP]]=13,VLOOKUP(Table1[[#This Row],[Item_Handpump]],[1]!Table2[#All],16,FALSE),0)</f>
        <v>0</v>
      </c>
      <c r="CB149" s="25">
        <f>IF(Table1[[#This Row],[Adjusted_ULife_PF]]=13,VLOOKUP(Table1[[#This Row],[Item_Platform]],[1]!Table2[#All],16,FALSE),0)</f>
        <v>0</v>
      </c>
      <c r="CC149" s="25">
        <f>SUM(Table1[[#This Row],[yr 13_wl]:[yr 13_pf]])</f>
        <v>0</v>
      </c>
      <c r="CD149" s="12"/>
    </row>
    <row r="150" spans="1:82" s="11" customFormat="1" x14ac:dyDescent="0.25">
      <c r="A150" s="11" t="str">
        <f>IF([1]Input_monitoring_data!A146="","",[1]Input_monitoring_data!A146)</f>
        <v>tk9e-1gjs-yh8k</v>
      </c>
      <c r="B150" s="22" t="str">
        <f>[1]Input_monitoring_data!BH146</f>
        <v>Kenyasi No.1</v>
      </c>
      <c r="C150" s="22" t="str">
        <f>[1]Input_monitoring_data!BI146</f>
        <v>Dormaa</v>
      </c>
      <c r="D150" s="22" t="str">
        <f>[1]Input_monitoring_data!P146</f>
        <v>6.995987406298776</v>
      </c>
      <c r="E150" s="22" t="str">
        <f>[1]Input_monitoring_data!Q146</f>
        <v>-2.351444442035275</v>
      </c>
      <c r="F150" s="22" t="str">
        <f>[1]Input_monitoring_data!V146</f>
        <v>Under Tick Groof(Kantikan Village Dorma)</v>
      </c>
      <c r="G150" s="23" t="str">
        <f>[1]Input_monitoring_data!U146</f>
        <v>Borehole</v>
      </c>
      <c r="H150" s="22">
        <f>[1]Input_monitoring_data!X146</f>
        <v>2010</v>
      </c>
      <c r="I150" s="21" t="str">
        <f>[1]Input_monitoring_data!AB146</f>
        <v>Borehole redevelopment</v>
      </c>
      <c r="J150" s="21">
        <f>[1]Input_monitoring_data!AC146</f>
        <v>0</v>
      </c>
      <c r="K150" s="23" t="str">
        <f>[1]Input_monitoring_data!W146</f>
        <v>AfriDev</v>
      </c>
      <c r="L150" s="22">
        <f>[1]Input_monitoring_data!X146</f>
        <v>2010</v>
      </c>
      <c r="M150" s="21">
        <f>IF([1]Input_monitoring_data!BL146&gt;'Point Sources_Asset_Register_'!L150,[1]Input_monitoring_data!BL146,"")</f>
        <v>2017</v>
      </c>
      <c r="N150" s="22" t="str">
        <f>[1]Input_monitoring_data!BQ146</f>
        <v>functional</v>
      </c>
      <c r="O150" s="22">
        <f>[1]Input_monitoring_data!AJ146</f>
        <v>0</v>
      </c>
      <c r="P150" s="23" t="s">
        <v>0</v>
      </c>
      <c r="Q150" s="22">
        <f>L150</f>
        <v>2010</v>
      </c>
      <c r="R150" s="21">
        <f>M150</f>
        <v>2017</v>
      </c>
      <c r="S150" s="20">
        <f>[1]Input_EUL_CRC_ERC!$B$17-Table1[[#This Row],[Year Installed_WL]]</f>
        <v>7</v>
      </c>
      <c r="T150" s="20">
        <f>[1]Input_EUL_CRC_ERC!$B$17-(IF(Table1[[#This Row],[Year Last_Rehab_WL ]]=0,Table1[[#This Row],[Year Installed_WL]],[1]Input_EUL_CRC_ERC!$B$17-Table1[[#This Row],[Year Last_Rehab_WL ]]))</f>
        <v>7</v>
      </c>
      <c r="U150" s="20">
        <f>(VLOOKUP(Table1[[#This Row],[Item_Rehab_WL]],[1]Input_EUL_CRC_ERC!$C$17:$E$27,2,FALSE)-Table1[[#This Row],[Last Rehab Age]])</f>
        <v>8</v>
      </c>
      <c r="V150" s="19">
        <f>[1]Input_EUL_CRC_ERC!$B$17-Table1[[#This Row],[Year Installed_HP]]</f>
        <v>7</v>
      </c>
      <c r="W150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50" s="19">
        <f>[1]Input_EUL_CRC_ERC!$B$17-Table1[[#This Row],[Year Installed_PF]]</f>
        <v>7</v>
      </c>
      <c r="Y150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50" s="25">
        <f>IF(Table1[[#This Row],[Years_Next_Rehab_Well]]&lt;=0,VLOOKUP(Table1[[#This Row],[Item_Rehab_WL]],[1]!Table2[#All],3,FALSE),0)</f>
        <v>0</v>
      </c>
      <c r="AA150" s="18">
        <f>IF(Table1[[#This Row],[Adjusted_ULife_HP]]&lt;=0,VLOOKUP(Table1[[#This Row],[Item_Handpump]],[1]!Table2[#All],3,FALSE),0)</f>
        <v>0</v>
      </c>
      <c r="AB150" s="18">
        <f>IF(Table1[[#This Row],[Adjusted_ULife_PF]]&lt;=0,VLOOKUP(Table1[[#This Row],[Item_Platform]],[1]!Table2[#All],3,FALSE),0)</f>
        <v>0</v>
      </c>
      <c r="AC150" s="18">
        <f>SUM(Table1[[#This Row],[current yr_wl]:[current yr_pf]])</f>
        <v>0</v>
      </c>
      <c r="AD150" s="25">
        <f>IF(Table1[[#This Row],[Years_Next_Rehab_Well]]=1,VLOOKUP(Table1[[#This Row],[Item_Rehab_WL]],[1]!Table2[#All],4,FALSE),0)</f>
        <v>0</v>
      </c>
      <c r="AE150" s="25">
        <f>IF(Table1[[#This Row],[Adjusted_ULife_HP]]=1,VLOOKUP(Table1[[#This Row],[Item_Handpump]],[1]!Table2[#All],4,FALSE),0)</f>
        <v>0</v>
      </c>
      <c r="AF150" s="25">
        <f>IF(Table1[[#This Row],[Adjusted_ULife_PF]]=1,VLOOKUP(Table1[[#This Row],[Item_Platform]],[1]!Table2[#All],4,FALSE),0)</f>
        <v>0</v>
      </c>
      <c r="AG150" s="25">
        <f>SUM(Table1[[#This Row],[yr 1_wl]:[yr 1_pf]])</f>
        <v>0</v>
      </c>
      <c r="AH150" s="25">
        <f>IF(Table1[[#This Row],[Years_Next_Rehab_Well]]=2,VLOOKUP(Table1[[#This Row],[Item_Rehab_WL]],[1]!Table2[#All],5,FALSE),0)</f>
        <v>0</v>
      </c>
      <c r="AI150" s="25">
        <f>IF(Table1[[#This Row],[Adjusted_ULife_HP]]=2,VLOOKUP(Table1[[#This Row],[Item_Handpump]],[1]!Table2[#All],5,FALSE),0)</f>
        <v>0</v>
      </c>
      <c r="AJ150" s="25">
        <f>IF(Table1[[#This Row],[Adjusted_ULife_PF]]=2,VLOOKUP(Table1[[#This Row],[Item_Platform]],[1]!Table2[#All],5,FALSE),0)</f>
        <v>0</v>
      </c>
      <c r="AK150" s="25">
        <f>SUM(Table1[[#This Row],[yr 2_wl]:[yr 2_pf]])</f>
        <v>0</v>
      </c>
      <c r="AL150" s="25">
        <f>IF(Table1[[#This Row],[Years_Next_Rehab_Well]]=3,VLOOKUP(Table1[[#This Row],[Item_Rehab_WL]],[1]!Table2[#All],6,FALSE),0)</f>
        <v>0</v>
      </c>
      <c r="AM150" s="25">
        <f>IF(Table1[[#This Row],[Adjusted_ULife_HP]]=3,VLOOKUP(Table1[[#This Row],[Item_Handpump]],[1]!Table2[#All],6,FALSE),0)</f>
        <v>0</v>
      </c>
      <c r="AN150" s="25">
        <f>IF(Table1[[#This Row],[Adjusted_ULife_PF]]=3,VLOOKUP(Table1[[#This Row],[Item_Platform]],[1]!Table2[#All],6,FALSE),0)</f>
        <v>0</v>
      </c>
      <c r="AO150" s="25">
        <f>SUM(Table1[[#This Row],[yr 3_wl]:[yr 3_pf]])</f>
        <v>0</v>
      </c>
      <c r="AP150" s="25">
        <f>IF(Table1[[#This Row],[Years_Next_Rehab_Well]]=4,VLOOKUP(Table1[[#This Row],[Item_Rehab_WL]],[1]!Table2[#All],7,FALSE),0)</f>
        <v>0</v>
      </c>
      <c r="AQ150" s="25">
        <f>IF(Table1[[#This Row],[Adjusted_ULife_HP]]=4,VLOOKUP(Table1[[#This Row],[Item_Handpump]],[1]!Table2[#All],7,FALSE),0)</f>
        <v>0</v>
      </c>
      <c r="AR150" s="25">
        <f>IF(Table1[[#This Row],[Adjusted_ULife_PF]]=4,VLOOKUP(Table1[[#This Row],[Item_Platform]],[1]!Table2[#All],7,FALSE),0)</f>
        <v>0</v>
      </c>
      <c r="AS150" s="25">
        <f>SUM(Table1[[#This Row],[yr 4_wl]:[yr 4_pf]])</f>
        <v>0</v>
      </c>
      <c r="AT150" s="25">
        <f>IF(Table1[[#This Row],[Years_Next_Rehab_Well]]=5,VLOOKUP(Table1[[#This Row],[Item_Rehab_WL]],[1]!Table2[#All],8,FALSE),0)</f>
        <v>0</v>
      </c>
      <c r="AU150" s="25">
        <f>IF(Table1[[#This Row],[Adjusted_ULife_HP]]=5,VLOOKUP(Table1[[#This Row],[Item_Handpump]],[1]!Table2[#All],8,FALSE),0)</f>
        <v>0</v>
      </c>
      <c r="AV150" s="25">
        <f>IF(Table1[[#This Row],[Adjusted_ULife_PF]]=5,VLOOKUP(Table1[[#This Row],[Item_Platform]],[1]!Table2[#All],8,FALSE),0)</f>
        <v>0</v>
      </c>
      <c r="AW150" s="25">
        <f>SUM(Table1[[#This Row],[yr 5_wl]:[yr 5_pf]])</f>
        <v>0</v>
      </c>
      <c r="AX150" s="25">
        <f>IF(Table1[[#This Row],[Years_Next_Rehab_Well]]=6,VLOOKUP(Table1[[#This Row],[Item_Rehab_WL]],[1]!Table2[#All],9,FALSE),0)</f>
        <v>0</v>
      </c>
      <c r="AY150" s="25">
        <f>IF(Table1[[#This Row],[Adjusted_ULife_HP]]=6,VLOOKUP(Table1[[#This Row],[Item_Handpump]],[1]!Table2[#All],9,FALSE),0)</f>
        <v>0</v>
      </c>
      <c r="AZ150" s="25">
        <f>IF(Table1[[#This Row],[Adjusted_ULife_PF]]=6,VLOOKUP(Table1[[#This Row],[Item_Platform]],[1]!Table2[#All],9,FALSE),0)</f>
        <v>0</v>
      </c>
      <c r="BA150" s="25">
        <f>SUM(Table1[[#This Row],[yr 6_wl]:[yr 6_pf]])</f>
        <v>0</v>
      </c>
      <c r="BB150" s="25">
        <f>IF(Table1[[#This Row],[Years_Next_Rehab_Well]]=7,VLOOKUP(Table1[[#This Row],[Item_Rehab_WL]],[1]!Table2[#All],10,FALSE),0)</f>
        <v>0</v>
      </c>
      <c r="BC150" s="25">
        <f>IF(Table1[[#This Row],[Adjusted_ULife_HP]]=7,VLOOKUP(Table1[[#This Row],[Item_Handpump]],[1]!Table2[#All],10,FALSE),0)</f>
        <v>0</v>
      </c>
      <c r="BD150" s="25">
        <f>IF(Table1[[#This Row],[Adjusted_ULife_PF]]=7,VLOOKUP(Table1[[#This Row],[Item_Platform]],[1]!Table2[#All],10,FALSE),0)</f>
        <v>0</v>
      </c>
      <c r="BE150" s="25">
        <f>SUM(Table1[[#This Row],[yr 7_wl]:[yr 7_pf]])</f>
        <v>0</v>
      </c>
      <c r="BF150" s="25">
        <f>IF(Table1[[#This Row],[Years_Next_Rehab_Well]]=8,VLOOKUP(Table1[[#This Row],[Item_Rehab_WL]],[1]!Table2[#All],11,FALSE),0)</f>
        <v>9078.5316464143089</v>
      </c>
      <c r="BG150" s="25">
        <f>IF(Table1[[#This Row],[Adjusted_ULife_HP]]=8,VLOOKUP(Table1[[#This Row],[Item_Handpump]],[1]!Table2[#All],11,FALSE),0)</f>
        <v>0</v>
      </c>
      <c r="BH150" s="25">
        <f>IF(Table1[[#This Row],[Adjusted_ULife_PF]]=8,VLOOKUP(Table1[[#This Row],[Item_Platform]],[1]!Table2[#All],11,FALSE),0)</f>
        <v>0</v>
      </c>
      <c r="BI150" s="25">
        <f>SUM(Table1[[#This Row],[yr 8_wl]:[yr 8_pf]])</f>
        <v>9078.5316464143089</v>
      </c>
      <c r="BJ150" s="25">
        <f>IF(Table1[[#This Row],[Years_Next_Rehab_Well]]=9,VLOOKUP(Table1[[#This Row],[Item_Rehab_WL]],[1]!Table2[#All],12,FALSE),0)</f>
        <v>0</v>
      </c>
      <c r="BK150" s="25">
        <f>IF(Table1[[#This Row],[Adjusted_ULife_HP]]=9,VLOOKUP(Table1[[#This Row],[Item_Handpump]],[1]!Table2[#All],12,FALSE),0)</f>
        <v>0</v>
      </c>
      <c r="BL150" s="25">
        <f>IF(Table1[[#This Row],[Adjusted_ULife_PF]]=9,VLOOKUP(Table1[[#This Row],[Item_Platform]],[1]!Table2[#All],12,FALSE),0)</f>
        <v>0</v>
      </c>
      <c r="BM150" s="25">
        <f>SUM(Table1[[#This Row],[yr 9_wl]:[yr 9_pf]])</f>
        <v>0</v>
      </c>
      <c r="BN150" s="25">
        <f>IF(Table1[[#This Row],[Years_Next_Rehab_Well]]=10,VLOOKUP(Table1[[#This Row],[Item_Rehab_WL]],[1]!Table2[#All],13,FALSE),0)</f>
        <v>0</v>
      </c>
      <c r="BO150" s="25">
        <f>IF(Table1[[#This Row],[Adjusted_ULife_HP]]=10,VLOOKUP(Table1[[#This Row],[Item_Handpump]],[1]!Table2[#All],13,FALSE),0)</f>
        <v>0</v>
      </c>
      <c r="BP150" s="25">
        <f>IF(Table1[[#This Row],[Adjusted_ULife_PF]]=10,VLOOKUP(Table1[[#This Row],[Item_Platform]],[1]!Table2[#All],13,FALSE),0)</f>
        <v>4658.7723125163184</v>
      </c>
      <c r="BQ150" s="25">
        <f>SUM(Table1[[#This Row],[yr 10_wl]:[yr 10_pf]])</f>
        <v>4658.7723125163184</v>
      </c>
      <c r="BR150" s="25">
        <f>IF(Table1[[#This Row],[Years_Next_Rehab_Well]]=11,VLOOKUP(Table1[[#This Row],[Item_Rehab_WL]],[1]!Table2[#All],14,FALSE),0)</f>
        <v>0</v>
      </c>
      <c r="BS150" s="25">
        <f>IF(Table1[[#This Row],[Adjusted_ULife_HP]]=11,VLOOKUP(Table1[[#This Row],[Item_Handpump]],[1]!Table2[#All],14,FALSE),0)</f>
        <v>0</v>
      </c>
      <c r="BT150" s="25">
        <f>IF(Table1[[#This Row],[Adjusted_ULife_PF]]=11,VLOOKUP(Table1[[#This Row],[Item_Platform]],[1]!Table2[#All],14,FALSE),0)</f>
        <v>0</v>
      </c>
      <c r="BU150" s="25">
        <f>SUM(Table1[[#This Row],[yr 11_wl]:[yr 11_pf]])</f>
        <v>0</v>
      </c>
      <c r="BV150" s="25">
        <f>IF(Table1[[#This Row],[Years_Next_Rehab_Well]]=12,VLOOKUP(Table1[[#This Row],[Item_Rehab_WL]],[1]!Table2[#All],15,FALSE),0)</f>
        <v>0</v>
      </c>
      <c r="BW150" s="25">
        <f>IF(Table1[[#This Row],[Adjusted_ULife_HP]]=12,VLOOKUP(Table1[[#This Row],[Item_Handpump]],[1]!Table2[#All],15,FALSE),0)</f>
        <v>0</v>
      </c>
      <c r="BX150" s="25">
        <f>IF(Table1[[#This Row],[Adjusted_ULife_PF]]=12,VLOOKUP(Table1[[#This Row],[Item_Platform]],[1]!Table2[#All],15,FALSE),0)</f>
        <v>0</v>
      </c>
      <c r="BY150" s="25">
        <f>SUM(Table1[[#This Row],[yr 12_wl]:[yr 12_pf]])</f>
        <v>0</v>
      </c>
      <c r="BZ150" s="25">
        <f>IF(Table1[[#This Row],[Years_Next_Rehab_Well]]=13,VLOOKUP(Table1[[#This Row],[Item_Rehab_WL]],[1]!Table2[#All],16,FALSE),0)</f>
        <v>0</v>
      </c>
      <c r="CA150" s="25">
        <f>IF(Table1[[#This Row],[Adjusted_ULife_HP]]=13,VLOOKUP(Table1[[#This Row],[Item_Handpump]],[1]!Table2[#All],16,FALSE),0)</f>
        <v>0</v>
      </c>
      <c r="CB150" s="25">
        <f>IF(Table1[[#This Row],[Adjusted_ULife_PF]]=13,VLOOKUP(Table1[[#This Row],[Item_Platform]],[1]!Table2[#All],16,FALSE),0)</f>
        <v>0</v>
      </c>
      <c r="CC150" s="25">
        <f>SUM(Table1[[#This Row],[yr 13_wl]:[yr 13_pf]])</f>
        <v>0</v>
      </c>
      <c r="CD150" s="12"/>
    </row>
    <row r="151" spans="1:82" s="11" customFormat="1" x14ac:dyDescent="0.25">
      <c r="A151" s="11" t="str">
        <f>IF([1]Input_monitoring_data!A147="","",[1]Input_monitoring_data!A147)</f>
        <v>tr6m-62t8-da5q</v>
      </c>
      <c r="B151" s="22" t="str">
        <f>[1]Input_monitoring_data!BH147</f>
        <v>KENYASI NO.2</v>
      </c>
      <c r="C151" s="22" t="str">
        <f>[1]Input_monitoring_data!BI147</f>
        <v>YARO GRUMAKROM</v>
      </c>
      <c r="D151" s="22" t="str">
        <f>[1]Input_monitoring_data!P147</f>
        <v>7.016435060674295</v>
      </c>
      <c r="E151" s="22" t="str">
        <f>[1]Input_monitoring_data!Q147</f>
        <v>-2.37588256584834</v>
      </c>
      <c r="F151" s="22" t="str">
        <f>[1]Input_monitoring_data!V147</f>
        <v>near yaro Grumas house</v>
      </c>
      <c r="G151" s="23" t="str">
        <f>[1]Input_monitoring_data!U147</f>
        <v>Borehole</v>
      </c>
      <c r="H151" s="22">
        <f>[1]Input_monitoring_data!X147</f>
        <v>2016</v>
      </c>
      <c r="I151" s="21" t="str">
        <f>[1]Input_monitoring_data!AB147</f>
        <v>Borehole redevelopment</v>
      </c>
      <c r="J151" s="21">
        <f>[1]Input_monitoring_data!AC147</f>
        <v>0</v>
      </c>
      <c r="K151" s="23" t="str">
        <f>[1]Input_monitoring_data!W147</f>
        <v>AfriDev</v>
      </c>
      <c r="L151" s="22">
        <f>[1]Input_monitoring_data!X147</f>
        <v>2016</v>
      </c>
      <c r="M151" s="21" t="str">
        <f>IF([1]Input_monitoring_data!BL147&gt;'Point Sources_Asset_Register_'!L151,[1]Input_monitoring_data!BL147,"")</f>
        <v/>
      </c>
      <c r="N151" s="22" t="str">
        <f>[1]Input_monitoring_data!BQ147</f>
        <v>functional</v>
      </c>
      <c r="O151" s="22">
        <f>[1]Input_monitoring_data!AJ147</f>
        <v>0</v>
      </c>
      <c r="P151" s="23" t="s">
        <v>0</v>
      </c>
      <c r="Q151" s="22">
        <f>L151</f>
        <v>2016</v>
      </c>
      <c r="R151" s="21" t="str">
        <f>M151</f>
        <v/>
      </c>
      <c r="S151" s="20">
        <f>[1]Input_EUL_CRC_ERC!$B$17-Table1[[#This Row],[Year Installed_WL]]</f>
        <v>1</v>
      </c>
      <c r="T151" s="20">
        <f>[1]Input_EUL_CRC_ERC!$B$17-(IF(Table1[[#This Row],[Year Last_Rehab_WL ]]=0,Table1[[#This Row],[Year Installed_WL]],[1]Input_EUL_CRC_ERC!$B$17-Table1[[#This Row],[Year Last_Rehab_WL ]]))</f>
        <v>1</v>
      </c>
      <c r="U151" s="20">
        <f>(VLOOKUP(Table1[[#This Row],[Item_Rehab_WL]],[1]Input_EUL_CRC_ERC!$C$17:$E$27,2,FALSE)-Table1[[#This Row],[Last Rehab Age]])</f>
        <v>14</v>
      </c>
      <c r="V151" s="19">
        <f>[1]Input_EUL_CRC_ERC!$B$17-Table1[[#This Row],[Year Installed_HP]]</f>
        <v>1</v>
      </c>
      <c r="W151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51" s="19">
        <f>[1]Input_EUL_CRC_ERC!$B$17-Table1[[#This Row],[Year Installed_PF]]</f>
        <v>1</v>
      </c>
      <c r="Y151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51" s="25">
        <f>IF(Table1[[#This Row],[Years_Next_Rehab_Well]]&lt;=0,VLOOKUP(Table1[[#This Row],[Item_Rehab_WL]],[1]!Table2[#All],3,FALSE),0)</f>
        <v>0</v>
      </c>
      <c r="AA151" s="18">
        <f>IF(Table1[[#This Row],[Adjusted_ULife_HP]]&lt;=0,VLOOKUP(Table1[[#This Row],[Item_Handpump]],[1]!Table2[#All],3,FALSE),0)</f>
        <v>0</v>
      </c>
      <c r="AB151" s="18">
        <f>IF(Table1[[#This Row],[Adjusted_ULife_PF]]&lt;=0,VLOOKUP(Table1[[#This Row],[Item_Platform]],[1]!Table2[#All],3,FALSE),0)</f>
        <v>0</v>
      </c>
      <c r="AC151" s="18">
        <f>SUM(Table1[[#This Row],[current yr_wl]:[current yr_pf]])</f>
        <v>0</v>
      </c>
      <c r="AD151" s="25">
        <f>IF(Table1[[#This Row],[Years_Next_Rehab_Well]]=1,VLOOKUP(Table1[[#This Row],[Item_Rehab_WL]],[1]!Table2[#All],4,FALSE),0)</f>
        <v>0</v>
      </c>
      <c r="AE151" s="25">
        <f>IF(Table1[[#This Row],[Adjusted_ULife_HP]]=1,VLOOKUP(Table1[[#This Row],[Item_Handpump]],[1]!Table2[#All],4,FALSE),0)</f>
        <v>0</v>
      </c>
      <c r="AF151" s="25">
        <f>IF(Table1[[#This Row],[Adjusted_ULife_PF]]=1,VLOOKUP(Table1[[#This Row],[Item_Platform]],[1]!Table2[#All],4,FALSE),0)</f>
        <v>0</v>
      </c>
      <c r="AG151" s="25">
        <f>SUM(Table1[[#This Row],[yr 1_wl]:[yr 1_pf]])</f>
        <v>0</v>
      </c>
      <c r="AH151" s="25">
        <f>IF(Table1[[#This Row],[Years_Next_Rehab_Well]]=2,VLOOKUP(Table1[[#This Row],[Item_Rehab_WL]],[1]!Table2[#All],5,FALSE),0)</f>
        <v>0</v>
      </c>
      <c r="AI151" s="25">
        <f>IF(Table1[[#This Row],[Adjusted_ULife_HP]]=2,VLOOKUP(Table1[[#This Row],[Item_Handpump]],[1]!Table2[#All],5,FALSE),0)</f>
        <v>0</v>
      </c>
      <c r="AJ151" s="25">
        <f>IF(Table1[[#This Row],[Adjusted_ULife_PF]]=2,VLOOKUP(Table1[[#This Row],[Item_Platform]],[1]!Table2[#All],5,FALSE),0)</f>
        <v>0</v>
      </c>
      <c r="AK151" s="25">
        <f>SUM(Table1[[#This Row],[yr 2_wl]:[yr 2_pf]])</f>
        <v>0</v>
      </c>
      <c r="AL151" s="25">
        <f>IF(Table1[[#This Row],[Years_Next_Rehab_Well]]=3,VLOOKUP(Table1[[#This Row],[Item_Rehab_WL]],[1]!Table2[#All],6,FALSE),0)</f>
        <v>0</v>
      </c>
      <c r="AM151" s="25">
        <f>IF(Table1[[#This Row],[Adjusted_ULife_HP]]=3,VLOOKUP(Table1[[#This Row],[Item_Handpump]],[1]!Table2[#All],6,FALSE),0)</f>
        <v>0</v>
      </c>
      <c r="AN151" s="25">
        <f>IF(Table1[[#This Row],[Adjusted_ULife_PF]]=3,VLOOKUP(Table1[[#This Row],[Item_Platform]],[1]!Table2[#All],6,FALSE),0)</f>
        <v>0</v>
      </c>
      <c r="AO151" s="25">
        <f>SUM(Table1[[#This Row],[yr 3_wl]:[yr 3_pf]])</f>
        <v>0</v>
      </c>
      <c r="AP151" s="25">
        <f>IF(Table1[[#This Row],[Years_Next_Rehab_Well]]=4,VLOOKUP(Table1[[#This Row],[Item_Rehab_WL]],[1]!Table2[#All],7,FALSE),0)</f>
        <v>0</v>
      </c>
      <c r="AQ151" s="25">
        <f>IF(Table1[[#This Row],[Adjusted_ULife_HP]]=4,VLOOKUP(Table1[[#This Row],[Item_Handpump]],[1]!Table2[#All],7,FALSE),0)</f>
        <v>0</v>
      </c>
      <c r="AR151" s="25">
        <f>IF(Table1[[#This Row],[Adjusted_ULife_PF]]=4,VLOOKUP(Table1[[#This Row],[Item_Platform]],[1]!Table2[#All],7,FALSE),0)</f>
        <v>0</v>
      </c>
      <c r="AS151" s="25">
        <f>SUM(Table1[[#This Row],[yr 4_wl]:[yr 4_pf]])</f>
        <v>0</v>
      </c>
      <c r="AT151" s="25">
        <f>IF(Table1[[#This Row],[Years_Next_Rehab_Well]]=5,VLOOKUP(Table1[[#This Row],[Item_Rehab_WL]],[1]!Table2[#All],8,FALSE),0)</f>
        <v>0</v>
      </c>
      <c r="AU151" s="25">
        <f>IF(Table1[[#This Row],[Adjusted_ULife_HP]]=5,VLOOKUP(Table1[[#This Row],[Item_Handpump]],[1]!Table2[#All],8,FALSE),0)</f>
        <v>0</v>
      </c>
      <c r="AV151" s="25">
        <f>IF(Table1[[#This Row],[Adjusted_ULife_PF]]=5,VLOOKUP(Table1[[#This Row],[Item_Platform]],[1]!Table2[#All],8,FALSE),0)</f>
        <v>0</v>
      </c>
      <c r="AW151" s="25">
        <f>SUM(Table1[[#This Row],[yr 5_wl]:[yr 5_pf]])</f>
        <v>0</v>
      </c>
      <c r="AX151" s="25">
        <f>IF(Table1[[#This Row],[Years_Next_Rehab_Well]]=6,VLOOKUP(Table1[[#This Row],[Item_Rehab_WL]],[1]!Table2[#All],9,FALSE),0)</f>
        <v>0</v>
      </c>
      <c r="AY151" s="25">
        <f>IF(Table1[[#This Row],[Adjusted_ULife_HP]]=6,VLOOKUP(Table1[[#This Row],[Item_Handpump]],[1]!Table2[#All],9,FALSE),0)</f>
        <v>0</v>
      </c>
      <c r="AZ151" s="25">
        <f>IF(Table1[[#This Row],[Adjusted_ULife_PF]]=6,VLOOKUP(Table1[[#This Row],[Item_Platform]],[1]!Table2[#All],9,FALSE),0)</f>
        <v>0</v>
      </c>
      <c r="BA151" s="25">
        <f>SUM(Table1[[#This Row],[yr 6_wl]:[yr 6_pf]])</f>
        <v>0</v>
      </c>
      <c r="BB151" s="25">
        <f>IF(Table1[[#This Row],[Years_Next_Rehab_Well]]=7,VLOOKUP(Table1[[#This Row],[Item_Rehab_WL]],[1]!Table2[#All],10,FALSE),0)</f>
        <v>0</v>
      </c>
      <c r="BC151" s="25">
        <f>IF(Table1[[#This Row],[Adjusted_ULife_HP]]=7,VLOOKUP(Table1[[#This Row],[Item_Handpump]],[1]!Table2[#All],10,FALSE),0)</f>
        <v>0</v>
      </c>
      <c r="BD151" s="25">
        <f>IF(Table1[[#This Row],[Adjusted_ULife_PF]]=7,VLOOKUP(Table1[[#This Row],[Item_Platform]],[1]!Table2[#All],10,FALSE),0)</f>
        <v>0</v>
      </c>
      <c r="BE151" s="25">
        <f>SUM(Table1[[#This Row],[yr 7_wl]:[yr 7_pf]])</f>
        <v>0</v>
      </c>
      <c r="BF151" s="25">
        <f>IF(Table1[[#This Row],[Years_Next_Rehab_Well]]=8,VLOOKUP(Table1[[#This Row],[Item_Rehab_WL]],[1]!Table2[#All],11,FALSE),0)</f>
        <v>0</v>
      </c>
      <c r="BG151" s="25">
        <f>IF(Table1[[#This Row],[Adjusted_ULife_HP]]=8,VLOOKUP(Table1[[#This Row],[Item_Handpump]],[1]!Table2[#All],11,FALSE),0)</f>
        <v>0</v>
      </c>
      <c r="BH151" s="25">
        <f>IF(Table1[[#This Row],[Adjusted_ULife_PF]]=8,VLOOKUP(Table1[[#This Row],[Item_Platform]],[1]!Table2[#All],11,FALSE),0)</f>
        <v>0</v>
      </c>
      <c r="BI151" s="25">
        <f>SUM(Table1[[#This Row],[yr 8_wl]:[yr 8_pf]])</f>
        <v>0</v>
      </c>
      <c r="BJ151" s="25">
        <f>IF(Table1[[#This Row],[Years_Next_Rehab_Well]]=9,VLOOKUP(Table1[[#This Row],[Item_Rehab_WL]],[1]!Table2[#All],12,FALSE),0)</f>
        <v>0</v>
      </c>
      <c r="BK151" s="25">
        <f>IF(Table1[[#This Row],[Adjusted_ULife_HP]]=9,VLOOKUP(Table1[[#This Row],[Item_Handpump]],[1]!Table2[#All],12,FALSE),0)</f>
        <v>0</v>
      </c>
      <c r="BL151" s="25">
        <f>IF(Table1[[#This Row],[Adjusted_ULife_PF]]=9,VLOOKUP(Table1[[#This Row],[Item_Platform]],[1]!Table2[#All],12,FALSE),0)</f>
        <v>4159.6181361752842</v>
      </c>
      <c r="BM151" s="25">
        <f>SUM(Table1[[#This Row],[yr 9_wl]:[yr 9_pf]])</f>
        <v>4159.6181361752842</v>
      </c>
      <c r="BN151" s="25">
        <f>IF(Table1[[#This Row],[Years_Next_Rehab_Well]]=10,VLOOKUP(Table1[[#This Row],[Item_Rehab_WL]],[1]!Table2[#All],13,FALSE),0)</f>
        <v>0</v>
      </c>
      <c r="BO151" s="25">
        <f>IF(Table1[[#This Row],[Adjusted_ULife_HP]]=10,VLOOKUP(Table1[[#This Row],[Item_Handpump]],[1]!Table2[#All],13,FALSE),0)</f>
        <v>0</v>
      </c>
      <c r="BP151" s="25">
        <f>IF(Table1[[#This Row],[Adjusted_ULife_PF]]=10,VLOOKUP(Table1[[#This Row],[Item_Platform]],[1]!Table2[#All],13,FALSE),0)</f>
        <v>0</v>
      </c>
      <c r="BQ151" s="25">
        <f>SUM(Table1[[#This Row],[yr 10_wl]:[yr 10_pf]])</f>
        <v>0</v>
      </c>
      <c r="BR151" s="25">
        <f>IF(Table1[[#This Row],[Years_Next_Rehab_Well]]=11,VLOOKUP(Table1[[#This Row],[Item_Rehab_WL]],[1]!Table2[#All],14,FALSE),0)</f>
        <v>0</v>
      </c>
      <c r="BS151" s="25">
        <f>IF(Table1[[#This Row],[Adjusted_ULife_HP]]=11,VLOOKUP(Table1[[#This Row],[Item_Handpump]],[1]!Table2[#All],14,FALSE),0)</f>
        <v>0</v>
      </c>
      <c r="BT151" s="25">
        <f>IF(Table1[[#This Row],[Adjusted_ULife_PF]]=11,VLOOKUP(Table1[[#This Row],[Item_Platform]],[1]!Table2[#All],14,FALSE),0)</f>
        <v>0</v>
      </c>
      <c r="BU151" s="25">
        <f>SUM(Table1[[#This Row],[yr 11_wl]:[yr 11_pf]])</f>
        <v>0</v>
      </c>
      <c r="BV151" s="25">
        <f>IF(Table1[[#This Row],[Years_Next_Rehab_Well]]=12,VLOOKUP(Table1[[#This Row],[Item_Rehab_WL]],[1]!Table2[#All],15,FALSE),0)</f>
        <v>0</v>
      </c>
      <c r="BW151" s="25">
        <f>IF(Table1[[#This Row],[Adjusted_ULife_HP]]=12,VLOOKUP(Table1[[#This Row],[Item_Handpump]],[1]!Table2[#All],15,FALSE),0)</f>
        <v>0</v>
      </c>
      <c r="BX151" s="25">
        <f>IF(Table1[[#This Row],[Adjusted_ULife_PF]]=12,VLOOKUP(Table1[[#This Row],[Item_Platform]],[1]!Table2[#All],15,FALSE),0)</f>
        <v>0</v>
      </c>
      <c r="BY151" s="25">
        <f>SUM(Table1[[#This Row],[yr 12_wl]:[yr 12_pf]])</f>
        <v>0</v>
      </c>
      <c r="BZ151" s="25">
        <f>IF(Table1[[#This Row],[Years_Next_Rehab_Well]]=13,VLOOKUP(Table1[[#This Row],[Item_Rehab_WL]],[1]!Table2[#All],16,FALSE),0)</f>
        <v>0</v>
      </c>
      <c r="CA151" s="25">
        <f>IF(Table1[[#This Row],[Adjusted_ULife_HP]]=13,VLOOKUP(Table1[[#This Row],[Item_Handpump]],[1]!Table2[#All],16,FALSE),0)</f>
        <v>0</v>
      </c>
      <c r="CB151" s="25">
        <f>IF(Table1[[#This Row],[Adjusted_ULife_PF]]=13,VLOOKUP(Table1[[#This Row],[Item_Platform]],[1]!Table2[#All],16,FALSE),0)</f>
        <v>0</v>
      </c>
      <c r="CC151" s="25">
        <f>SUM(Table1[[#This Row],[yr 13_wl]:[yr 13_pf]])</f>
        <v>0</v>
      </c>
      <c r="CD151" s="12"/>
    </row>
    <row r="152" spans="1:82" s="11" customFormat="1" x14ac:dyDescent="0.25">
      <c r="A152" s="11" t="str">
        <f>IF([1]Input_monitoring_data!A148="","",[1]Input_monitoring_data!A148)</f>
        <v>tx1w-fqac-k0y</v>
      </c>
      <c r="B152" s="22" t="str">
        <f>[1]Input_monitoring_data!BH148</f>
        <v>Ntotroso</v>
      </c>
      <c r="C152" s="22" t="str">
        <f>[1]Input_monitoring_data!BI148</f>
        <v>Esonyame Ye</v>
      </c>
      <c r="D152" s="22" t="str">
        <f>[1]Input_monitoring_data!P148</f>
        <v>7.087664628038377</v>
      </c>
      <c r="E152" s="22" t="str">
        <f>[1]Input_monitoring_data!Q148</f>
        <v>-2.3182876576275446</v>
      </c>
      <c r="F152" s="22" t="str">
        <f>[1]Input_monitoring_data!V148</f>
        <v>Kofi Abanga's Premises</v>
      </c>
      <c r="G152" s="23" t="str">
        <f>[1]Input_monitoring_data!U148</f>
        <v>Borehole</v>
      </c>
      <c r="H152" s="22">
        <f>[1]Input_monitoring_data!X148</f>
        <v>2011</v>
      </c>
      <c r="I152" s="21" t="str">
        <f>[1]Input_monitoring_data!AB148</f>
        <v>Borehole redevelopment</v>
      </c>
      <c r="J152" s="21">
        <f>[1]Input_monitoring_data!AC148</f>
        <v>0</v>
      </c>
      <c r="K152" s="23" t="str">
        <f>[1]Input_monitoring_data!W148</f>
        <v>AfriDev</v>
      </c>
      <c r="L152" s="22">
        <f>[1]Input_monitoring_data!X148</f>
        <v>2011</v>
      </c>
      <c r="M152" s="21">
        <f>IF([1]Input_monitoring_data!BL148&gt;'Point Sources_Asset_Register_'!L152,[1]Input_monitoring_data!BL148,"")</f>
        <v>2014</v>
      </c>
      <c r="N152" s="22" t="str">
        <f>[1]Input_monitoring_data!BQ148</f>
        <v>functional</v>
      </c>
      <c r="O152" s="22">
        <f>[1]Input_monitoring_data!AJ148</f>
        <v>0</v>
      </c>
      <c r="P152" s="23" t="s">
        <v>0</v>
      </c>
      <c r="Q152" s="22">
        <f>L152</f>
        <v>2011</v>
      </c>
      <c r="R152" s="21">
        <f>M152</f>
        <v>2014</v>
      </c>
      <c r="S152" s="20">
        <f>[1]Input_EUL_CRC_ERC!$B$17-Table1[[#This Row],[Year Installed_WL]]</f>
        <v>6</v>
      </c>
      <c r="T152" s="20">
        <f>[1]Input_EUL_CRC_ERC!$B$17-(IF(Table1[[#This Row],[Year Last_Rehab_WL ]]=0,Table1[[#This Row],[Year Installed_WL]],[1]Input_EUL_CRC_ERC!$B$17-Table1[[#This Row],[Year Last_Rehab_WL ]]))</f>
        <v>6</v>
      </c>
      <c r="U152" s="20">
        <f>(VLOOKUP(Table1[[#This Row],[Item_Rehab_WL]],[1]Input_EUL_CRC_ERC!$C$17:$E$27,2,FALSE)-Table1[[#This Row],[Last Rehab Age]])</f>
        <v>9</v>
      </c>
      <c r="V152" s="26">
        <f>[1]Input_EUL_CRC_ERC!$B$17-Table1[[#This Row],[Year Installed_HP]]</f>
        <v>6</v>
      </c>
      <c r="W152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52" s="26">
        <f>[1]Input_EUL_CRC_ERC!$B$17-Table1[[#This Row],[Year Installed_PF]]</f>
        <v>6</v>
      </c>
      <c r="Y152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52" s="25">
        <f>IF(Table1[[#This Row],[Years_Next_Rehab_Well]]&lt;=0,VLOOKUP(Table1[[#This Row],[Item_Rehab_WL]],[1]!Table2[#All],3,FALSE),0)</f>
        <v>0</v>
      </c>
      <c r="AA152" s="25">
        <f>IF(Table1[[#This Row],[Adjusted_ULife_HP]]&lt;=0,VLOOKUP(Table1[[#This Row],[Item_Handpump]],[1]!Table2[#All],3,FALSE),0)</f>
        <v>0</v>
      </c>
      <c r="AB152" s="25">
        <f>IF(Table1[[#This Row],[Adjusted_ULife_PF]]&lt;=0,VLOOKUP(Table1[[#This Row],[Item_Platform]],[1]!Table2[#All],3,FALSE),0)</f>
        <v>0</v>
      </c>
      <c r="AC152" s="25">
        <f>SUM(Table1[[#This Row],[current yr_wl]:[current yr_pf]])</f>
        <v>0</v>
      </c>
      <c r="AD152" s="25">
        <f>IF(Table1[[#This Row],[Years_Next_Rehab_Well]]=1,VLOOKUP(Table1[[#This Row],[Item_Rehab_WL]],[1]!Table2[#All],4,FALSE),0)</f>
        <v>0</v>
      </c>
      <c r="AE152" s="25">
        <f>IF(Table1[[#This Row],[Adjusted_ULife_HP]]=1,VLOOKUP(Table1[[#This Row],[Item_Handpump]],[1]!Table2[#All],4,FALSE),0)</f>
        <v>0</v>
      </c>
      <c r="AF152" s="25">
        <f>IF(Table1[[#This Row],[Adjusted_ULife_PF]]=1,VLOOKUP(Table1[[#This Row],[Item_Platform]],[1]!Table2[#All],4,FALSE),0)</f>
        <v>0</v>
      </c>
      <c r="AG152" s="25">
        <f>SUM(Table1[[#This Row],[yr 1_wl]:[yr 1_pf]])</f>
        <v>0</v>
      </c>
      <c r="AH152" s="25">
        <f>IF(Table1[[#This Row],[Years_Next_Rehab_Well]]=2,VLOOKUP(Table1[[#This Row],[Item_Rehab_WL]],[1]!Table2[#All],5,FALSE),0)</f>
        <v>0</v>
      </c>
      <c r="AI152" s="25">
        <f>IF(Table1[[#This Row],[Adjusted_ULife_HP]]=2,VLOOKUP(Table1[[#This Row],[Item_Handpump]],[1]!Table2[#All],5,FALSE),0)</f>
        <v>0</v>
      </c>
      <c r="AJ152" s="25">
        <f>IF(Table1[[#This Row],[Adjusted_ULife_PF]]=2,VLOOKUP(Table1[[#This Row],[Item_Platform]],[1]!Table2[#All],5,FALSE),0)</f>
        <v>0</v>
      </c>
      <c r="AK152" s="25">
        <f>SUM(Table1[[#This Row],[yr 2_wl]:[yr 2_pf]])</f>
        <v>0</v>
      </c>
      <c r="AL152" s="25">
        <f>IF(Table1[[#This Row],[Years_Next_Rehab_Well]]=3,VLOOKUP(Table1[[#This Row],[Item_Rehab_WL]],[1]!Table2[#All],6,FALSE),0)</f>
        <v>0</v>
      </c>
      <c r="AM152" s="25">
        <f>IF(Table1[[#This Row],[Adjusted_ULife_HP]]=3,VLOOKUP(Table1[[#This Row],[Item_Handpump]],[1]!Table2[#All],6,FALSE),0)</f>
        <v>0</v>
      </c>
      <c r="AN152" s="25">
        <f>IF(Table1[[#This Row],[Adjusted_ULife_PF]]=3,VLOOKUP(Table1[[#This Row],[Item_Platform]],[1]!Table2[#All],6,FALSE),0)</f>
        <v>0</v>
      </c>
      <c r="AO152" s="25">
        <f>SUM(Table1[[#This Row],[yr 3_wl]:[yr 3_pf]])</f>
        <v>0</v>
      </c>
      <c r="AP152" s="25">
        <f>IF(Table1[[#This Row],[Years_Next_Rehab_Well]]=4,VLOOKUP(Table1[[#This Row],[Item_Rehab_WL]],[1]!Table2[#All],7,FALSE),0)</f>
        <v>0</v>
      </c>
      <c r="AQ152" s="25">
        <f>IF(Table1[[#This Row],[Adjusted_ULife_HP]]=4,VLOOKUP(Table1[[#This Row],[Item_Handpump]],[1]!Table2[#All],7,FALSE),0)</f>
        <v>0</v>
      </c>
      <c r="AR152" s="25">
        <f>IF(Table1[[#This Row],[Adjusted_ULife_PF]]=4,VLOOKUP(Table1[[#This Row],[Item_Platform]],[1]!Table2[#All],7,FALSE),0)</f>
        <v>0</v>
      </c>
      <c r="AS152" s="25">
        <f>SUM(Table1[[#This Row],[yr 4_wl]:[yr 4_pf]])</f>
        <v>0</v>
      </c>
      <c r="AT152" s="25">
        <f>IF(Table1[[#This Row],[Years_Next_Rehab_Well]]=5,VLOOKUP(Table1[[#This Row],[Item_Rehab_WL]],[1]!Table2[#All],8,FALSE),0)</f>
        <v>0</v>
      </c>
      <c r="AU152" s="25">
        <f>IF(Table1[[#This Row],[Adjusted_ULife_HP]]=5,VLOOKUP(Table1[[#This Row],[Item_Handpump]],[1]!Table2[#All],8,FALSE),0)</f>
        <v>0</v>
      </c>
      <c r="AV152" s="25">
        <f>IF(Table1[[#This Row],[Adjusted_ULife_PF]]=5,VLOOKUP(Table1[[#This Row],[Item_Platform]],[1]!Table2[#All],8,FALSE),0)</f>
        <v>0</v>
      </c>
      <c r="AW152" s="25">
        <f>SUM(Table1[[#This Row],[yr 5_wl]:[yr 5_pf]])</f>
        <v>0</v>
      </c>
      <c r="AX152" s="25">
        <f>IF(Table1[[#This Row],[Years_Next_Rehab_Well]]=6,VLOOKUP(Table1[[#This Row],[Item_Rehab_WL]],[1]!Table2[#All],9,FALSE),0)</f>
        <v>0</v>
      </c>
      <c r="AY152" s="25">
        <f>IF(Table1[[#This Row],[Adjusted_ULife_HP]]=6,VLOOKUP(Table1[[#This Row],[Item_Handpump]],[1]!Table2[#All],9,FALSE),0)</f>
        <v>0</v>
      </c>
      <c r="AZ152" s="25">
        <f>IF(Table1[[#This Row],[Adjusted_ULife_PF]]=6,VLOOKUP(Table1[[#This Row],[Item_Platform]],[1]!Table2[#All],9,FALSE),0)</f>
        <v>0</v>
      </c>
      <c r="BA152" s="25">
        <f>SUM(Table1[[#This Row],[yr 6_wl]:[yr 6_pf]])</f>
        <v>0</v>
      </c>
      <c r="BB152" s="25">
        <f>IF(Table1[[#This Row],[Years_Next_Rehab_Well]]=7,VLOOKUP(Table1[[#This Row],[Item_Rehab_WL]],[1]!Table2[#All],10,FALSE),0)</f>
        <v>0</v>
      </c>
      <c r="BC152" s="25">
        <f>IF(Table1[[#This Row],[Adjusted_ULife_HP]]=7,VLOOKUP(Table1[[#This Row],[Item_Handpump]],[1]!Table2[#All],10,FALSE),0)</f>
        <v>0</v>
      </c>
      <c r="BD152" s="25">
        <f>IF(Table1[[#This Row],[Adjusted_ULife_PF]]=7,VLOOKUP(Table1[[#This Row],[Item_Platform]],[1]!Table2[#All],10,FALSE),0)</f>
        <v>3316.0221111091228</v>
      </c>
      <c r="BE152" s="25">
        <f>SUM(Table1[[#This Row],[yr 7_wl]:[yr 7_pf]])</f>
        <v>3316.0221111091228</v>
      </c>
      <c r="BF152" s="25">
        <f>IF(Table1[[#This Row],[Years_Next_Rehab_Well]]=8,VLOOKUP(Table1[[#This Row],[Item_Rehab_WL]],[1]!Table2[#All],11,FALSE),0)</f>
        <v>0</v>
      </c>
      <c r="BG152" s="25">
        <f>IF(Table1[[#This Row],[Adjusted_ULife_HP]]=8,VLOOKUP(Table1[[#This Row],[Item_Handpump]],[1]!Table2[#All],11,FALSE),0)</f>
        <v>0</v>
      </c>
      <c r="BH152" s="25">
        <f>IF(Table1[[#This Row],[Adjusted_ULife_PF]]=8,VLOOKUP(Table1[[#This Row],[Item_Platform]],[1]!Table2[#All],11,FALSE),0)</f>
        <v>0</v>
      </c>
      <c r="BI152" s="25">
        <f>SUM(Table1[[#This Row],[yr 8_wl]:[yr 8_pf]])</f>
        <v>0</v>
      </c>
      <c r="BJ152" s="25">
        <f>IF(Table1[[#This Row],[Years_Next_Rehab_Well]]=9,VLOOKUP(Table1[[#This Row],[Item_Rehab_WL]],[1]!Table2[#All],12,FALSE),0)</f>
        <v>10167.955443984027</v>
      </c>
      <c r="BK152" s="25">
        <f>IF(Table1[[#This Row],[Adjusted_ULife_HP]]=9,VLOOKUP(Table1[[#This Row],[Item_Handpump]],[1]!Table2[#All],12,FALSE),0)</f>
        <v>0</v>
      </c>
      <c r="BL152" s="25">
        <f>IF(Table1[[#This Row],[Adjusted_ULife_PF]]=9,VLOOKUP(Table1[[#This Row],[Item_Platform]],[1]!Table2[#All],12,FALSE),0)</f>
        <v>0</v>
      </c>
      <c r="BM152" s="25">
        <f>SUM(Table1[[#This Row],[yr 9_wl]:[yr 9_pf]])</f>
        <v>10167.955443984027</v>
      </c>
      <c r="BN152" s="25">
        <f>IF(Table1[[#This Row],[Years_Next_Rehab_Well]]=10,VLOOKUP(Table1[[#This Row],[Item_Rehab_WL]],[1]!Table2[#All],13,FALSE),0)</f>
        <v>0</v>
      </c>
      <c r="BO152" s="25">
        <f>IF(Table1[[#This Row],[Adjusted_ULife_HP]]=10,VLOOKUP(Table1[[#This Row],[Item_Handpump]],[1]!Table2[#All],13,FALSE),0)</f>
        <v>0</v>
      </c>
      <c r="BP152" s="25">
        <f>IF(Table1[[#This Row],[Adjusted_ULife_PF]]=10,VLOOKUP(Table1[[#This Row],[Item_Platform]],[1]!Table2[#All],13,FALSE),0)</f>
        <v>0</v>
      </c>
      <c r="BQ152" s="25">
        <f>SUM(Table1[[#This Row],[yr 10_wl]:[yr 10_pf]])</f>
        <v>0</v>
      </c>
      <c r="BR152" s="25">
        <f>IF(Table1[[#This Row],[Years_Next_Rehab_Well]]=11,VLOOKUP(Table1[[#This Row],[Item_Rehab_WL]],[1]!Table2[#All],14,FALSE),0)</f>
        <v>0</v>
      </c>
      <c r="BS152" s="25">
        <f>IF(Table1[[#This Row],[Adjusted_ULife_HP]]=11,VLOOKUP(Table1[[#This Row],[Item_Handpump]],[1]!Table2[#All],14,FALSE),0)</f>
        <v>0</v>
      </c>
      <c r="BT152" s="25">
        <f>IF(Table1[[#This Row],[Adjusted_ULife_PF]]=11,VLOOKUP(Table1[[#This Row],[Item_Platform]],[1]!Table2[#All],14,FALSE),0)</f>
        <v>0</v>
      </c>
      <c r="BU152" s="25">
        <f>SUM(Table1[[#This Row],[yr 11_wl]:[yr 11_pf]])</f>
        <v>0</v>
      </c>
      <c r="BV152" s="25">
        <f>IF(Table1[[#This Row],[Years_Next_Rehab_Well]]=12,VLOOKUP(Table1[[#This Row],[Item_Rehab_WL]],[1]!Table2[#All],15,FALSE),0)</f>
        <v>0</v>
      </c>
      <c r="BW152" s="25">
        <f>IF(Table1[[#This Row],[Adjusted_ULife_HP]]=12,VLOOKUP(Table1[[#This Row],[Item_Handpump]],[1]!Table2[#All],15,FALSE),0)</f>
        <v>0</v>
      </c>
      <c r="BX152" s="25">
        <f>IF(Table1[[#This Row],[Adjusted_ULife_PF]]=12,VLOOKUP(Table1[[#This Row],[Item_Platform]],[1]!Table2[#All],15,FALSE),0)</f>
        <v>0</v>
      </c>
      <c r="BY152" s="25">
        <f>SUM(Table1[[#This Row],[yr 12_wl]:[yr 12_pf]])</f>
        <v>0</v>
      </c>
      <c r="BZ152" s="25">
        <f>IF(Table1[[#This Row],[Years_Next_Rehab_Well]]=13,VLOOKUP(Table1[[#This Row],[Item_Rehab_WL]],[1]!Table2[#All],16,FALSE),0)</f>
        <v>0</v>
      </c>
      <c r="CA152" s="25">
        <f>IF(Table1[[#This Row],[Adjusted_ULife_HP]]=13,VLOOKUP(Table1[[#This Row],[Item_Handpump]],[1]!Table2[#All],16,FALSE),0)</f>
        <v>0</v>
      </c>
      <c r="CB152" s="25">
        <f>IF(Table1[[#This Row],[Adjusted_ULife_PF]]=13,VLOOKUP(Table1[[#This Row],[Item_Platform]],[1]!Table2[#All],16,FALSE),0)</f>
        <v>0</v>
      </c>
      <c r="CC152" s="25">
        <f>SUM(Table1[[#This Row],[yr 13_wl]:[yr 13_pf]])</f>
        <v>0</v>
      </c>
      <c r="CD152" s="12"/>
    </row>
    <row r="153" spans="1:82" s="11" customFormat="1" x14ac:dyDescent="0.25">
      <c r="A153" s="11" t="str">
        <f>IF([1]Input_monitoring_data!A149="","",[1]Input_monitoring_data!A149)</f>
        <v>u9c9-e6nc-gtdr</v>
      </c>
      <c r="B153" s="22" t="str">
        <f>[1]Input_monitoring_data!BH149</f>
        <v>Kenyasi No.1</v>
      </c>
      <c r="C153" s="22" t="str">
        <f>[1]Input_monitoring_data!BI149</f>
        <v>Adukrom</v>
      </c>
      <c r="D153" s="22" t="str">
        <f>[1]Input_monitoring_data!P149</f>
        <v>6.965808921125291</v>
      </c>
      <c r="E153" s="22" t="str">
        <f>[1]Input_monitoring_data!Q149</f>
        <v>-2.43622400010958</v>
      </c>
      <c r="F153" s="22" t="str">
        <f>[1]Input_monitoring_data!V149</f>
        <v>Infront Of The Cocoa Shed</v>
      </c>
      <c r="G153" s="23" t="str">
        <f>[1]Input_monitoring_data!U149</f>
        <v>Borehole</v>
      </c>
      <c r="H153" s="22">
        <f>[1]Input_monitoring_data!X149</f>
        <v>1987</v>
      </c>
      <c r="I153" s="21" t="str">
        <f>[1]Input_monitoring_data!AB149</f>
        <v>Borehole redevelopment</v>
      </c>
      <c r="J153" s="21">
        <f>[1]Input_monitoring_data!AC149</f>
        <v>0</v>
      </c>
      <c r="K153" s="23" t="str">
        <f>[1]Input_monitoring_data!W149</f>
        <v>AfriDev</v>
      </c>
      <c r="L153" s="22">
        <f>[1]Input_monitoring_data!X149</f>
        <v>1987</v>
      </c>
      <c r="M153" s="21">
        <f>IF([1]Input_monitoring_data!BL149&gt;'Point Sources_Asset_Register_'!L153,[1]Input_monitoring_data!BL149,"")</f>
        <v>2017</v>
      </c>
      <c r="N153" s="22" t="str">
        <f>[1]Input_monitoring_data!BQ149</f>
        <v>functional</v>
      </c>
      <c r="O153" s="22">
        <f>[1]Input_monitoring_data!AJ149</f>
        <v>0</v>
      </c>
      <c r="P153" s="23" t="s">
        <v>0</v>
      </c>
      <c r="Q153" s="22">
        <f>L153</f>
        <v>1987</v>
      </c>
      <c r="R153" s="21">
        <f>M153</f>
        <v>2017</v>
      </c>
      <c r="S153" s="20">
        <f>[1]Input_EUL_CRC_ERC!$B$17-Table1[[#This Row],[Year Installed_WL]]</f>
        <v>30</v>
      </c>
      <c r="T153" s="20">
        <f>[1]Input_EUL_CRC_ERC!$B$17-(IF(Table1[[#This Row],[Year Last_Rehab_WL ]]=0,Table1[[#This Row],[Year Installed_WL]],[1]Input_EUL_CRC_ERC!$B$17-Table1[[#This Row],[Year Last_Rehab_WL ]]))</f>
        <v>30</v>
      </c>
      <c r="U153" s="20">
        <f>(VLOOKUP(Table1[[#This Row],[Item_Rehab_WL]],[1]Input_EUL_CRC_ERC!$C$17:$E$27,2,FALSE)-Table1[[#This Row],[Last Rehab Age]])</f>
        <v>-15</v>
      </c>
      <c r="V153" s="26">
        <f>[1]Input_EUL_CRC_ERC!$B$17-Table1[[#This Row],[Year Installed_HP]]</f>
        <v>30</v>
      </c>
      <c r="W153" s="26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53" s="26">
        <f>[1]Input_EUL_CRC_ERC!$B$17-Table1[[#This Row],[Year Installed_PF]]</f>
        <v>30</v>
      </c>
      <c r="Y153" s="26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53" s="25">
        <f>IF(Table1[[#This Row],[Years_Next_Rehab_Well]]&lt;=0,VLOOKUP(Table1[[#This Row],[Item_Rehab_WL]],[1]!Table2[#All],3,FALSE),0)</f>
        <v>3666.6666666666665</v>
      </c>
      <c r="AA153" s="25">
        <f>IF(Table1[[#This Row],[Adjusted_ULife_HP]]&lt;=0,VLOOKUP(Table1[[#This Row],[Item_Handpump]],[1]!Table2[#All],3,FALSE),0)</f>
        <v>0</v>
      </c>
      <c r="AB153" s="25">
        <f>IF(Table1[[#This Row],[Adjusted_ULife_PF]]&lt;=0,VLOOKUP(Table1[[#This Row],[Item_Platform]],[1]!Table2[#All],3,FALSE),0)</f>
        <v>0</v>
      </c>
      <c r="AC153" s="25">
        <f>SUM(Table1[[#This Row],[current yr_wl]:[current yr_pf]])</f>
        <v>3666.6666666666665</v>
      </c>
      <c r="AD153" s="25">
        <f>IF(Table1[[#This Row],[Years_Next_Rehab_Well]]=1,VLOOKUP(Table1[[#This Row],[Item_Rehab_WL]],[1]!Table2[#All],4,FALSE),0)</f>
        <v>0</v>
      </c>
      <c r="AE153" s="25">
        <f>IF(Table1[[#This Row],[Adjusted_ULife_HP]]=1,VLOOKUP(Table1[[#This Row],[Item_Handpump]],[1]!Table2[#All],4,FALSE),0)</f>
        <v>0</v>
      </c>
      <c r="AF153" s="25">
        <f>IF(Table1[[#This Row],[Adjusted_ULife_PF]]=1,VLOOKUP(Table1[[#This Row],[Item_Platform]],[1]!Table2[#All],4,FALSE),0)</f>
        <v>0</v>
      </c>
      <c r="AG153" s="25">
        <f>SUM(Table1[[#This Row],[yr 1_wl]:[yr 1_pf]])</f>
        <v>0</v>
      </c>
      <c r="AH153" s="25">
        <f>IF(Table1[[#This Row],[Years_Next_Rehab_Well]]=2,VLOOKUP(Table1[[#This Row],[Item_Rehab_WL]],[1]!Table2[#All],5,FALSE),0)</f>
        <v>0</v>
      </c>
      <c r="AI153" s="25">
        <f>IF(Table1[[#This Row],[Adjusted_ULife_HP]]=2,VLOOKUP(Table1[[#This Row],[Item_Handpump]],[1]!Table2[#All],5,FALSE),0)</f>
        <v>0</v>
      </c>
      <c r="AJ153" s="25">
        <f>IF(Table1[[#This Row],[Adjusted_ULife_PF]]=2,VLOOKUP(Table1[[#This Row],[Item_Platform]],[1]!Table2[#All],5,FALSE),0)</f>
        <v>0</v>
      </c>
      <c r="AK153" s="25">
        <f>SUM(Table1[[#This Row],[yr 2_wl]:[yr 2_pf]])</f>
        <v>0</v>
      </c>
      <c r="AL153" s="25">
        <f>IF(Table1[[#This Row],[Years_Next_Rehab_Well]]=3,VLOOKUP(Table1[[#This Row],[Item_Rehab_WL]],[1]!Table2[#All],6,FALSE),0)</f>
        <v>0</v>
      </c>
      <c r="AM153" s="25">
        <f>IF(Table1[[#This Row],[Adjusted_ULife_HP]]=3,VLOOKUP(Table1[[#This Row],[Item_Handpump]],[1]!Table2[#All],6,FALSE),0)</f>
        <v>0</v>
      </c>
      <c r="AN153" s="25">
        <f>IF(Table1[[#This Row],[Adjusted_ULife_PF]]=3,VLOOKUP(Table1[[#This Row],[Item_Platform]],[1]!Table2[#All],6,FALSE),0)</f>
        <v>0</v>
      </c>
      <c r="AO153" s="25">
        <f>SUM(Table1[[#This Row],[yr 3_wl]:[yr 3_pf]])</f>
        <v>0</v>
      </c>
      <c r="AP153" s="25">
        <f>IF(Table1[[#This Row],[Years_Next_Rehab_Well]]=4,VLOOKUP(Table1[[#This Row],[Item_Rehab_WL]],[1]!Table2[#All],7,FALSE),0)</f>
        <v>0</v>
      </c>
      <c r="AQ153" s="25">
        <f>IF(Table1[[#This Row],[Adjusted_ULife_HP]]=4,VLOOKUP(Table1[[#This Row],[Item_Handpump]],[1]!Table2[#All],7,FALSE),0)</f>
        <v>0</v>
      </c>
      <c r="AR153" s="25">
        <f>IF(Table1[[#This Row],[Adjusted_ULife_PF]]=4,VLOOKUP(Table1[[#This Row],[Item_Platform]],[1]!Table2[#All],7,FALSE),0)</f>
        <v>0</v>
      </c>
      <c r="AS153" s="25">
        <f>SUM(Table1[[#This Row],[yr 4_wl]:[yr 4_pf]])</f>
        <v>0</v>
      </c>
      <c r="AT153" s="25">
        <f>IF(Table1[[#This Row],[Years_Next_Rehab_Well]]=5,VLOOKUP(Table1[[#This Row],[Item_Rehab_WL]],[1]!Table2[#All],8,FALSE),0)</f>
        <v>0</v>
      </c>
      <c r="AU153" s="25">
        <f>IF(Table1[[#This Row],[Adjusted_ULife_HP]]=5,VLOOKUP(Table1[[#This Row],[Item_Handpump]],[1]!Table2[#All],8,FALSE),0)</f>
        <v>0</v>
      </c>
      <c r="AV153" s="25">
        <f>IF(Table1[[#This Row],[Adjusted_ULife_PF]]=5,VLOOKUP(Table1[[#This Row],[Item_Platform]],[1]!Table2[#All],8,FALSE),0)</f>
        <v>0</v>
      </c>
      <c r="AW153" s="25">
        <f>SUM(Table1[[#This Row],[yr 5_wl]:[yr 5_pf]])</f>
        <v>0</v>
      </c>
      <c r="AX153" s="25">
        <f>IF(Table1[[#This Row],[Years_Next_Rehab_Well]]=6,VLOOKUP(Table1[[#This Row],[Item_Rehab_WL]],[1]!Table2[#All],9,FALSE),0)</f>
        <v>0</v>
      </c>
      <c r="AY153" s="25">
        <f>IF(Table1[[#This Row],[Adjusted_ULife_HP]]=6,VLOOKUP(Table1[[#This Row],[Item_Handpump]],[1]!Table2[#All],9,FALSE),0)</f>
        <v>0</v>
      </c>
      <c r="AZ153" s="25">
        <f>IF(Table1[[#This Row],[Adjusted_ULife_PF]]=6,VLOOKUP(Table1[[#This Row],[Item_Platform]],[1]!Table2[#All],9,FALSE),0)</f>
        <v>0</v>
      </c>
      <c r="BA153" s="25">
        <f>SUM(Table1[[#This Row],[yr 6_wl]:[yr 6_pf]])</f>
        <v>0</v>
      </c>
      <c r="BB153" s="25">
        <f>IF(Table1[[#This Row],[Years_Next_Rehab_Well]]=7,VLOOKUP(Table1[[#This Row],[Item_Rehab_WL]],[1]!Table2[#All],10,FALSE),0)</f>
        <v>0</v>
      </c>
      <c r="BC153" s="25">
        <f>IF(Table1[[#This Row],[Adjusted_ULife_HP]]=7,VLOOKUP(Table1[[#This Row],[Item_Handpump]],[1]!Table2[#All],10,FALSE),0)</f>
        <v>0</v>
      </c>
      <c r="BD153" s="25">
        <f>IF(Table1[[#This Row],[Adjusted_ULife_PF]]=7,VLOOKUP(Table1[[#This Row],[Item_Platform]],[1]!Table2[#All],10,FALSE),0)</f>
        <v>0</v>
      </c>
      <c r="BE153" s="25">
        <f>SUM(Table1[[#This Row],[yr 7_wl]:[yr 7_pf]])</f>
        <v>0</v>
      </c>
      <c r="BF153" s="25">
        <f>IF(Table1[[#This Row],[Years_Next_Rehab_Well]]=8,VLOOKUP(Table1[[#This Row],[Item_Rehab_WL]],[1]!Table2[#All],11,FALSE),0)</f>
        <v>0</v>
      </c>
      <c r="BG153" s="25">
        <f>IF(Table1[[#This Row],[Adjusted_ULife_HP]]=8,VLOOKUP(Table1[[#This Row],[Item_Handpump]],[1]!Table2[#All],11,FALSE),0)</f>
        <v>0</v>
      </c>
      <c r="BH153" s="25">
        <f>IF(Table1[[#This Row],[Adjusted_ULife_PF]]=8,VLOOKUP(Table1[[#This Row],[Item_Platform]],[1]!Table2[#All],11,FALSE),0)</f>
        <v>0</v>
      </c>
      <c r="BI153" s="25">
        <f>SUM(Table1[[#This Row],[yr 8_wl]:[yr 8_pf]])</f>
        <v>0</v>
      </c>
      <c r="BJ153" s="25">
        <f>IF(Table1[[#This Row],[Years_Next_Rehab_Well]]=9,VLOOKUP(Table1[[#This Row],[Item_Rehab_WL]],[1]!Table2[#All],12,FALSE),0)</f>
        <v>0</v>
      </c>
      <c r="BK153" s="25">
        <f>IF(Table1[[#This Row],[Adjusted_ULife_HP]]=9,VLOOKUP(Table1[[#This Row],[Item_Handpump]],[1]!Table2[#All],12,FALSE),0)</f>
        <v>0</v>
      </c>
      <c r="BL153" s="25">
        <f>IF(Table1[[#This Row],[Adjusted_ULife_PF]]=9,VLOOKUP(Table1[[#This Row],[Item_Platform]],[1]!Table2[#All],12,FALSE),0)</f>
        <v>0</v>
      </c>
      <c r="BM153" s="25">
        <f>SUM(Table1[[#This Row],[yr 9_wl]:[yr 9_pf]])</f>
        <v>0</v>
      </c>
      <c r="BN153" s="25">
        <f>IF(Table1[[#This Row],[Years_Next_Rehab_Well]]=10,VLOOKUP(Table1[[#This Row],[Item_Rehab_WL]],[1]!Table2[#All],13,FALSE),0)</f>
        <v>0</v>
      </c>
      <c r="BO153" s="25">
        <f>IF(Table1[[#This Row],[Adjusted_ULife_HP]]=10,VLOOKUP(Table1[[#This Row],[Item_Handpump]],[1]!Table2[#All],13,FALSE),0)</f>
        <v>0</v>
      </c>
      <c r="BP153" s="25">
        <f>IF(Table1[[#This Row],[Adjusted_ULife_PF]]=10,VLOOKUP(Table1[[#This Row],[Item_Platform]],[1]!Table2[#All],13,FALSE),0)</f>
        <v>4658.7723125163184</v>
      </c>
      <c r="BQ153" s="25">
        <f>SUM(Table1[[#This Row],[yr 10_wl]:[yr 10_pf]])</f>
        <v>4658.7723125163184</v>
      </c>
      <c r="BR153" s="25">
        <f>IF(Table1[[#This Row],[Years_Next_Rehab_Well]]=11,VLOOKUP(Table1[[#This Row],[Item_Rehab_WL]],[1]!Table2[#All],14,FALSE),0)</f>
        <v>0</v>
      </c>
      <c r="BS153" s="25">
        <f>IF(Table1[[#This Row],[Adjusted_ULife_HP]]=11,VLOOKUP(Table1[[#This Row],[Item_Handpump]],[1]!Table2[#All],14,FALSE),0)</f>
        <v>0</v>
      </c>
      <c r="BT153" s="25">
        <f>IF(Table1[[#This Row],[Adjusted_ULife_PF]]=11,VLOOKUP(Table1[[#This Row],[Item_Platform]],[1]!Table2[#All],14,FALSE),0)</f>
        <v>0</v>
      </c>
      <c r="BU153" s="25">
        <f>SUM(Table1[[#This Row],[yr 11_wl]:[yr 11_pf]])</f>
        <v>0</v>
      </c>
      <c r="BV153" s="25">
        <f>IF(Table1[[#This Row],[Years_Next_Rehab_Well]]=12,VLOOKUP(Table1[[#This Row],[Item_Rehab_WL]],[1]!Table2[#All],15,FALSE),0)</f>
        <v>0</v>
      </c>
      <c r="BW153" s="25">
        <f>IF(Table1[[#This Row],[Adjusted_ULife_HP]]=12,VLOOKUP(Table1[[#This Row],[Item_Handpump]],[1]!Table2[#All],15,FALSE),0)</f>
        <v>0</v>
      </c>
      <c r="BX153" s="25">
        <f>IF(Table1[[#This Row],[Adjusted_ULife_PF]]=12,VLOOKUP(Table1[[#This Row],[Item_Platform]],[1]!Table2[#All],15,FALSE),0)</f>
        <v>0</v>
      </c>
      <c r="BY153" s="25">
        <f>SUM(Table1[[#This Row],[yr 12_wl]:[yr 12_pf]])</f>
        <v>0</v>
      </c>
      <c r="BZ153" s="25">
        <f>IF(Table1[[#This Row],[Years_Next_Rehab_Well]]=13,VLOOKUP(Table1[[#This Row],[Item_Rehab_WL]],[1]!Table2[#All],16,FALSE),0)</f>
        <v>0</v>
      </c>
      <c r="CA153" s="25">
        <f>IF(Table1[[#This Row],[Adjusted_ULife_HP]]=13,VLOOKUP(Table1[[#This Row],[Item_Handpump]],[1]!Table2[#All],16,FALSE),0)</f>
        <v>0</v>
      </c>
      <c r="CB153" s="25">
        <f>IF(Table1[[#This Row],[Adjusted_ULife_PF]]=13,VLOOKUP(Table1[[#This Row],[Item_Platform]],[1]!Table2[#All],16,FALSE),0)</f>
        <v>0</v>
      </c>
      <c r="CC153" s="25">
        <f>SUM(Table1[[#This Row],[yr 13_wl]:[yr 13_pf]])</f>
        <v>0</v>
      </c>
      <c r="CD153" s="12"/>
    </row>
    <row r="154" spans="1:82" s="11" customFormat="1" x14ac:dyDescent="0.25">
      <c r="A154" s="11" t="str">
        <f>IF([1]Input_monitoring_data!A150="","",[1]Input_monitoring_data!A150)</f>
        <v>uyfg-uec9-q2d8</v>
      </c>
      <c r="B154" s="22" t="str">
        <f>[1]Input_monitoring_data!BH150</f>
        <v>Goamu</v>
      </c>
      <c r="C154" s="22" t="str">
        <f>[1]Input_monitoring_data!BI150</f>
        <v>Aboagyaa</v>
      </c>
      <c r="D154" s="22" t="str">
        <f>[1]Input_monitoring_data!P150</f>
        <v>6.988290746895873</v>
      </c>
      <c r="E154" s="22" t="str">
        <f>[1]Input_monitoring_data!Q150</f>
        <v>-2.5616959194029985</v>
      </c>
      <c r="F154" s="22" t="str">
        <f>[1]Input_monitoring_data!V150</f>
        <v>At The Pooling Station</v>
      </c>
      <c r="G154" s="23" t="str">
        <f>[1]Input_monitoring_data!U150</f>
        <v>Borehole</v>
      </c>
      <c r="H154" s="22">
        <f>[1]Input_monitoring_data!X150</f>
        <v>2009</v>
      </c>
      <c r="I154" s="21" t="str">
        <f>[1]Input_monitoring_data!AB150</f>
        <v>Borehole redevelopment</v>
      </c>
      <c r="J154" s="21">
        <f>[1]Input_monitoring_data!AC150</f>
        <v>0</v>
      </c>
      <c r="K154" s="23" t="str">
        <f>[1]Input_monitoring_data!W150</f>
        <v>AfriDev</v>
      </c>
      <c r="L154" s="22">
        <f>[1]Input_monitoring_data!X150</f>
        <v>2009</v>
      </c>
      <c r="M154" s="21" t="str">
        <f>IF([1]Input_monitoring_data!BL150&gt;'Point Sources_Asset_Register_'!L154,[1]Input_monitoring_data!BL150,"")</f>
        <v/>
      </c>
      <c r="N154" s="22" t="str">
        <f>[1]Input_monitoring_data!BQ150</f>
        <v>partially functional</v>
      </c>
      <c r="O154" s="22">
        <f>[1]Input_monitoring_data!AJ150</f>
        <v>0</v>
      </c>
      <c r="P154" s="23" t="s">
        <v>0</v>
      </c>
      <c r="Q154" s="22">
        <f>L154</f>
        <v>2009</v>
      </c>
      <c r="R154" s="21" t="str">
        <f>M154</f>
        <v/>
      </c>
      <c r="S154" s="20">
        <f>[1]Input_EUL_CRC_ERC!$B$17-Table1[[#This Row],[Year Installed_WL]]</f>
        <v>8</v>
      </c>
      <c r="T154" s="20">
        <f>[1]Input_EUL_CRC_ERC!$B$17-(IF(Table1[[#This Row],[Year Last_Rehab_WL ]]=0,Table1[[#This Row],[Year Installed_WL]],[1]Input_EUL_CRC_ERC!$B$17-Table1[[#This Row],[Year Last_Rehab_WL ]]))</f>
        <v>8</v>
      </c>
      <c r="U154" s="20">
        <f>(VLOOKUP(Table1[[#This Row],[Item_Rehab_WL]],[1]Input_EUL_CRC_ERC!$C$17:$E$27,2,FALSE)-Table1[[#This Row],[Last Rehab Age]])</f>
        <v>7</v>
      </c>
      <c r="V154" s="19">
        <f>[1]Input_EUL_CRC_ERC!$B$17-Table1[[#This Row],[Year Installed_HP]]</f>
        <v>8</v>
      </c>
      <c r="W154" s="19">
        <f>(VLOOKUP(Table1[[#This Row],[Item_Handpump]],[1]!Table2[#All],2,FALSE))-(IF(Table1[[#This Row],[Year Last_Rehab_HP]]="",Table1[[#This Row],[Current Age_Handpump]],[1]Input_EUL_CRC_ERC!$B$17-Table1[[#This Row],[Year Last_Rehab_HP]]))</f>
        <v>12</v>
      </c>
      <c r="X154" s="19">
        <f>[1]Input_EUL_CRC_ERC!$B$17-Table1[[#This Row],[Year Installed_PF]]</f>
        <v>8</v>
      </c>
      <c r="Y154" s="19">
        <f>(VLOOKUP(Table1[[#This Row],[Item_Platform]],[1]!Table2[#All],2,FALSE))-(IF(Table1[[#This Row],[Year Last_Rehab_PF]]="",Table1[[#This Row],[Current Age_Platform]],[1]Input_EUL_CRC_ERC!$B$17-Table1[[#This Row],[Year Last_Rehab_PF]]))</f>
        <v>2</v>
      </c>
      <c r="Z154" s="25">
        <f>IF(Table1[[#This Row],[Years_Next_Rehab_Well]]&lt;=0,VLOOKUP(Table1[[#This Row],[Item_Rehab_WL]],[1]!Table2[#All],3,FALSE),0)</f>
        <v>0</v>
      </c>
      <c r="AA154" s="18">
        <f>IF(Table1[[#This Row],[Adjusted_ULife_HP]]&lt;=0,VLOOKUP(Table1[[#This Row],[Item_Handpump]],[1]!Table2[#All],3,FALSE),0)</f>
        <v>0</v>
      </c>
      <c r="AB154" s="18">
        <f>IF(Table1[[#This Row],[Adjusted_ULife_PF]]&lt;=0,VLOOKUP(Table1[[#This Row],[Item_Platform]],[1]!Table2[#All],3,FALSE),0)</f>
        <v>0</v>
      </c>
      <c r="AC154" s="18">
        <f>SUM(Table1[[#This Row],[current yr_wl]:[current yr_pf]])</f>
        <v>0</v>
      </c>
      <c r="AD154" s="25">
        <f>IF(Table1[[#This Row],[Years_Next_Rehab_Well]]=1,VLOOKUP(Table1[[#This Row],[Item_Rehab_WL]],[1]!Table2[#All],4,FALSE),0)</f>
        <v>0</v>
      </c>
      <c r="AE154" s="25">
        <f>IF(Table1[[#This Row],[Adjusted_ULife_HP]]=1,VLOOKUP(Table1[[#This Row],[Item_Handpump]],[1]!Table2[#All],4,FALSE),0)</f>
        <v>0</v>
      </c>
      <c r="AF154" s="25">
        <f>IF(Table1[[#This Row],[Adjusted_ULife_PF]]=1,VLOOKUP(Table1[[#This Row],[Item_Platform]],[1]!Table2[#All],4,FALSE),0)</f>
        <v>0</v>
      </c>
      <c r="AG154" s="25">
        <f>SUM(Table1[[#This Row],[yr 1_wl]:[yr 1_pf]])</f>
        <v>0</v>
      </c>
      <c r="AH154" s="25">
        <f>IF(Table1[[#This Row],[Years_Next_Rehab_Well]]=2,VLOOKUP(Table1[[#This Row],[Item_Rehab_WL]],[1]!Table2[#All],5,FALSE),0)</f>
        <v>0</v>
      </c>
      <c r="AI154" s="25">
        <f>IF(Table1[[#This Row],[Adjusted_ULife_HP]]=2,VLOOKUP(Table1[[#This Row],[Item_Handpump]],[1]!Table2[#All],5,FALSE),0)</f>
        <v>0</v>
      </c>
      <c r="AJ154" s="25">
        <f>IF(Table1[[#This Row],[Adjusted_ULife_PF]]=2,VLOOKUP(Table1[[#This Row],[Item_Platform]],[1]!Table2[#All],5,FALSE),0)</f>
        <v>1881.6000000000004</v>
      </c>
      <c r="AK154" s="25">
        <f>SUM(Table1[[#This Row],[yr 2_wl]:[yr 2_pf]])</f>
        <v>1881.6000000000004</v>
      </c>
      <c r="AL154" s="25">
        <f>IF(Table1[[#This Row],[Years_Next_Rehab_Well]]=3,VLOOKUP(Table1[[#This Row],[Item_Rehab_WL]],[1]!Table2[#All],6,FALSE),0)</f>
        <v>0</v>
      </c>
      <c r="AM154" s="25">
        <f>IF(Table1[[#This Row],[Adjusted_ULife_HP]]=3,VLOOKUP(Table1[[#This Row],[Item_Handpump]],[1]!Table2[#All],6,FALSE),0)</f>
        <v>0</v>
      </c>
      <c r="AN154" s="25">
        <f>IF(Table1[[#This Row],[Adjusted_ULife_PF]]=3,VLOOKUP(Table1[[#This Row],[Item_Platform]],[1]!Table2[#All],6,FALSE),0)</f>
        <v>0</v>
      </c>
      <c r="AO154" s="25">
        <f>SUM(Table1[[#This Row],[yr 3_wl]:[yr 3_pf]])</f>
        <v>0</v>
      </c>
      <c r="AP154" s="25">
        <f>IF(Table1[[#This Row],[Years_Next_Rehab_Well]]=4,VLOOKUP(Table1[[#This Row],[Item_Rehab_WL]],[1]!Table2[#All],7,FALSE),0)</f>
        <v>0</v>
      </c>
      <c r="AQ154" s="25">
        <f>IF(Table1[[#This Row],[Adjusted_ULife_HP]]=4,VLOOKUP(Table1[[#This Row],[Item_Handpump]],[1]!Table2[#All],7,FALSE),0)</f>
        <v>0</v>
      </c>
      <c r="AR154" s="25">
        <f>IF(Table1[[#This Row],[Adjusted_ULife_PF]]=4,VLOOKUP(Table1[[#This Row],[Item_Platform]],[1]!Table2[#All],7,FALSE),0)</f>
        <v>0</v>
      </c>
      <c r="AS154" s="25">
        <f>SUM(Table1[[#This Row],[yr 4_wl]:[yr 4_pf]])</f>
        <v>0</v>
      </c>
      <c r="AT154" s="25">
        <f>IF(Table1[[#This Row],[Years_Next_Rehab_Well]]=5,VLOOKUP(Table1[[#This Row],[Item_Rehab_WL]],[1]!Table2[#All],8,FALSE),0)</f>
        <v>0</v>
      </c>
      <c r="AU154" s="25">
        <f>IF(Table1[[#This Row],[Adjusted_ULife_HP]]=5,VLOOKUP(Table1[[#This Row],[Item_Handpump]],[1]!Table2[#All],8,FALSE),0)</f>
        <v>0</v>
      </c>
      <c r="AV154" s="25">
        <f>IF(Table1[[#This Row],[Adjusted_ULife_PF]]=5,VLOOKUP(Table1[[#This Row],[Item_Platform]],[1]!Table2[#All],8,FALSE),0)</f>
        <v>0</v>
      </c>
      <c r="AW154" s="25">
        <f>SUM(Table1[[#This Row],[yr 5_wl]:[yr 5_pf]])</f>
        <v>0</v>
      </c>
      <c r="AX154" s="25">
        <f>IF(Table1[[#This Row],[Years_Next_Rehab_Well]]=6,VLOOKUP(Table1[[#This Row],[Item_Rehab_WL]],[1]!Table2[#All],9,FALSE),0)</f>
        <v>0</v>
      </c>
      <c r="AY154" s="25">
        <f>IF(Table1[[#This Row],[Adjusted_ULife_HP]]=6,VLOOKUP(Table1[[#This Row],[Item_Handpump]],[1]!Table2[#All],9,FALSE),0)</f>
        <v>0</v>
      </c>
      <c r="AZ154" s="25">
        <f>IF(Table1[[#This Row],[Adjusted_ULife_PF]]=6,VLOOKUP(Table1[[#This Row],[Item_Platform]],[1]!Table2[#All],9,FALSE),0)</f>
        <v>0</v>
      </c>
      <c r="BA154" s="25">
        <f>SUM(Table1[[#This Row],[yr 6_wl]:[yr 6_pf]])</f>
        <v>0</v>
      </c>
      <c r="BB154" s="25">
        <f>IF(Table1[[#This Row],[Years_Next_Rehab_Well]]=7,VLOOKUP(Table1[[#This Row],[Item_Rehab_WL]],[1]!Table2[#All],10,FALSE),0)</f>
        <v>8105.8318271556318</v>
      </c>
      <c r="BC154" s="25">
        <f>IF(Table1[[#This Row],[Adjusted_ULife_HP]]=7,VLOOKUP(Table1[[#This Row],[Item_Handpump]],[1]!Table2[#All],10,FALSE),0)</f>
        <v>0</v>
      </c>
      <c r="BD154" s="25">
        <f>IF(Table1[[#This Row],[Adjusted_ULife_PF]]=7,VLOOKUP(Table1[[#This Row],[Item_Platform]],[1]!Table2[#All],10,FALSE),0)</f>
        <v>0</v>
      </c>
      <c r="BE154" s="25">
        <f>SUM(Table1[[#This Row],[yr 7_wl]:[yr 7_pf]])</f>
        <v>8105.8318271556318</v>
      </c>
      <c r="BF154" s="25">
        <f>IF(Table1[[#This Row],[Years_Next_Rehab_Well]]=8,VLOOKUP(Table1[[#This Row],[Item_Rehab_WL]],[1]!Table2[#All],11,FALSE),0)</f>
        <v>0</v>
      </c>
      <c r="BG154" s="25">
        <f>IF(Table1[[#This Row],[Adjusted_ULife_HP]]=8,VLOOKUP(Table1[[#This Row],[Item_Handpump]],[1]!Table2[#All],11,FALSE),0)</f>
        <v>0</v>
      </c>
      <c r="BH154" s="25">
        <f>IF(Table1[[#This Row],[Adjusted_ULife_PF]]=8,VLOOKUP(Table1[[#This Row],[Item_Platform]],[1]!Table2[#All],11,FALSE),0)</f>
        <v>0</v>
      </c>
      <c r="BI154" s="25">
        <f>SUM(Table1[[#This Row],[yr 8_wl]:[yr 8_pf]])</f>
        <v>0</v>
      </c>
      <c r="BJ154" s="25">
        <f>IF(Table1[[#This Row],[Years_Next_Rehab_Well]]=9,VLOOKUP(Table1[[#This Row],[Item_Rehab_WL]],[1]!Table2[#All],12,FALSE),0)</f>
        <v>0</v>
      </c>
      <c r="BK154" s="25">
        <f>IF(Table1[[#This Row],[Adjusted_ULife_HP]]=9,VLOOKUP(Table1[[#This Row],[Item_Handpump]],[1]!Table2[#All],12,FALSE),0)</f>
        <v>0</v>
      </c>
      <c r="BL154" s="25">
        <f>IF(Table1[[#This Row],[Adjusted_ULife_PF]]=9,VLOOKUP(Table1[[#This Row],[Item_Platform]],[1]!Table2[#All],12,FALSE),0)</f>
        <v>0</v>
      </c>
      <c r="BM154" s="25">
        <f>SUM(Table1[[#This Row],[yr 9_wl]:[yr 9_pf]])</f>
        <v>0</v>
      </c>
      <c r="BN154" s="25">
        <f>IF(Table1[[#This Row],[Years_Next_Rehab_Well]]=10,VLOOKUP(Table1[[#This Row],[Item_Rehab_WL]],[1]!Table2[#All],13,FALSE),0)</f>
        <v>0</v>
      </c>
      <c r="BO154" s="25">
        <f>IF(Table1[[#This Row],[Adjusted_ULife_HP]]=10,VLOOKUP(Table1[[#This Row],[Item_Handpump]],[1]!Table2[#All],13,FALSE),0)</f>
        <v>0</v>
      </c>
      <c r="BP154" s="25">
        <f>IF(Table1[[#This Row],[Adjusted_ULife_PF]]=10,VLOOKUP(Table1[[#This Row],[Item_Platform]],[1]!Table2[#All],13,FALSE),0)</f>
        <v>0</v>
      </c>
      <c r="BQ154" s="25">
        <f>SUM(Table1[[#This Row],[yr 10_wl]:[yr 10_pf]])</f>
        <v>0</v>
      </c>
      <c r="BR154" s="25">
        <f>IF(Table1[[#This Row],[Years_Next_Rehab_Well]]=11,VLOOKUP(Table1[[#This Row],[Item_Rehab_WL]],[1]!Table2[#All],14,FALSE),0)</f>
        <v>0</v>
      </c>
      <c r="BS154" s="25">
        <f>IF(Table1[[#This Row],[Adjusted_ULife_HP]]=11,VLOOKUP(Table1[[#This Row],[Item_Handpump]],[1]!Table2[#All],14,FALSE),0)</f>
        <v>0</v>
      </c>
      <c r="BT154" s="25">
        <f>IF(Table1[[#This Row],[Adjusted_ULife_PF]]=11,VLOOKUP(Table1[[#This Row],[Item_Platform]],[1]!Table2[#All],14,FALSE),0)</f>
        <v>0</v>
      </c>
      <c r="BU154" s="25">
        <f>SUM(Table1[[#This Row],[yr 11_wl]:[yr 11_pf]])</f>
        <v>0</v>
      </c>
      <c r="BV154" s="25">
        <f>IF(Table1[[#This Row],[Years_Next_Rehab_Well]]=12,VLOOKUP(Table1[[#This Row],[Item_Rehab_WL]],[1]!Table2[#All],15,FALSE),0)</f>
        <v>0</v>
      </c>
      <c r="BW154" s="25">
        <f>IF(Table1[[#This Row],[Adjusted_ULife_HP]]=12,VLOOKUP(Table1[[#This Row],[Item_Handpump]],[1]!Table2[#All],15,FALSE),0)</f>
        <v>1558.3903970187919</v>
      </c>
      <c r="BX154" s="25">
        <f>IF(Table1[[#This Row],[Adjusted_ULife_PF]]=12,VLOOKUP(Table1[[#This Row],[Item_Platform]],[1]!Table2[#All],15,FALSE),0)</f>
        <v>0</v>
      </c>
      <c r="BY154" s="25">
        <f>SUM(Table1[[#This Row],[yr 12_wl]:[yr 12_pf]])</f>
        <v>1558.3903970187919</v>
      </c>
      <c r="BZ154" s="25">
        <f>IF(Table1[[#This Row],[Years_Next_Rehab_Well]]=13,VLOOKUP(Table1[[#This Row],[Item_Rehab_WL]],[1]!Table2[#All],16,FALSE),0)</f>
        <v>0</v>
      </c>
      <c r="CA154" s="25">
        <f>IF(Table1[[#This Row],[Adjusted_ULife_HP]]=13,VLOOKUP(Table1[[#This Row],[Item_Handpump]],[1]!Table2[#All],16,FALSE),0)</f>
        <v>0</v>
      </c>
      <c r="CB154" s="25">
        <f>IF(Table1[[#This Row],[Adjusted_ULife_PF]]=13,VLOOKUP(Table1[[#This Row],[Item_Platform]],[1]!Table2[#All],16,FALSE),0)</f>
        <v>0</v>
      </c>
      <c r="CC154" s="25">
        <f>SUM(Table1[[#This Row],[yr 13_wl]:[yr 13_pf]])</f>
        <v>0</v>
      </c>
      <c r="CD154" s="12"/>
    </row>
    <row r="155" spans="1:82" s="11" customFormat="1" x14ac:dyDescent="0.25">
      <c r="A155" s="11" t="str">
        <f>IF([1]Input_monitoring_data!A151="","",[1]Input_monitoring_data!A151)</f>
        <v>uywb-8d7f-dm4f</v>
      </c>
      <c r="B155" s="22" t="str">
        <f>[1]Input_monitoring_data!BH151</f>
        <v>Gambia</v>
      </c>
      <c r="C155" s="22" t="str">
        <f>[1]Input_monitoring_data!BI151</f>
        <v>Gambia No.1</v>
      </c>
      <c r="D155" s="22" t="str">
        <f>[1]Input_monitoring_data!P151</f>
        <v>7.036684951361598</v>
      </c>
      <c r="E155" s="22" t="str">
        <f>[1]Input_monitoring_data!Q151</f>
        <v>-2.6383593632754807</v>
      </c>
      <c r="F155" s="22" t="str">
        <f>[1]Input_monitoring_data!V151</f>
        <v>Along The Road To The Health Centre</v>
      </c>
      <c r="G155" s="23" t="str">
        <f>[1]Input_monitoring_data!U151</f>
        <v>Borehole</v>
      </c>
      <c r="H155" s="22">
        <f>[1]Input_monitoring_data!X151</f>
        <v>1985</v>
      </c>
      <c r="I155" s="21" t="str">
        <f>[1]Input_monitoring_data!AB151</f>
        <v>Borehole redevelopment</v>
      </c>
      <c r="J155" s="21">
        <f>[1]Input_monitoring_data!AC151</f>
        <v>0</v>
      </c>
      <c r="K155" s="23" t="str">
        <f>[1]Input_monitoring_data!W151</f>
        <v>AfriDev</v>
      </c>
      <c r="L155" s="22">
        <f>[1]Input_monitoring_data!X151</f>
        <v>1985</v>
      </c>
      <c r="M155" s="21">
        <f>IF([1]Input_monitoring_data!BL151&gt;'Point Sources_Asset_Register_'!L155,[1]Input_monitoring_data!BL151,"")</f>
        <v>2014</v>
      </c>
      <c r="N155" s="22" t="str">
        <f>[1]Input_monitoring_data!BQ151</f>
        <v>functional</v>
      </c>
      <c r="O155" s="22">
        <f>[1]Input_monitoring_data!AJ151</f>
        <v>0</v>
      </c>
      <c r="P155" s="23" t="s">
        <v>0</v>
      </c>
      <c r="Q155" s="22">
        <f>L155</f>
        <v>1985</v>
      </c>
      <c r="R155" s="21">
        <f>M155</f>
        <v>2014</v>
      </c>
      <c r="S155" s="20">
        <f>[1]Input_EUL_CRC_ERC!$B$17-Table1[[#This Row],[Year Installed_WL]]</f>
        <v>32</v>
      </c>
      <c r="T155" s="20">
        <f>[1]Input_EUL_CRC_ERC!$B$17-(IF(Table1[[#This Row],[Year Last_Rehab_WL ]]=0,Table1[[#This Row],[Year Installed_WL]],[1]Input_EUL_CRC_ERC!$B$17-Table1[[#This Row],[Year Last_Rehab_WL ]]))</f>
        <v>32</v>
      </c>
      <c r="U155" s="20">
        <f>(VLOOKUP(Table1[[#This Row],[Item_Rehab_WL]],[1]Input_EUL_CRC_ERC!$C$17:$E$27,2,FALSE)-Table1[[#This Row],[Last Rehab Age]])</f>
        <v>-17</v>
      </c>
      <c r="V155" s="19">
        <f>[1]Input_EUL_CRC_ERC!$B$17-Table1[[#This Row],[Year Installed_HP]]</f>
        <v>32</v>
      </c>
      <c r="W155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55" s="19">
        <f>[1]Input_EUL_CRC_ERC!$B$17-Table1[[#This Row],[Year Installed_PF]]</f>
        <v>32</v>
      </c>
      <c r="Y155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55" s="25">
        <f>IF(Table1[[#This Row],[Years_Next_Rehab_Well]]&lt;=0,VLOOKUP(Table1[[#This Row],[Item_Rehab_WL]],[1]!Table2[#All],3,FALSE),0)</f>
        <v>3666.6666666666665</v>
      </c>
      <c r="AA155" s="18">
        <f>IF(Table1[[#This Row],[Adjusted_ULife_HP]]&lt;=0,VLOOKUP(Table1[[#This Row],[Item_Handpump]],[1]!Table2[#All],3,FALSE),0)</f>
        <v>0</v>
      </c>
      <c r="AB155" s="18">
        <f>IF(Table1[[#This Row],[Adjusted_ULife_PF]]&lt;=0,VLOOKUP(Table1[[#This Row],[Item_Platform]],[1]!Table2[#All],3,FALSE),0)</f>
        <v>0</v>
      </c>
      <c r="AC155" s="18">
        <f>SUM(Table1[[#This Row],[current yr_wl]:[current yr_pf]])</f>
        <v>3666.6666666666665</v>
      </c>
      <c r="AD155" s="25">
        <f>IF(Table1[[#This Row],[Years_Next_Rehab_Well]]=1,VLOOKUP(Table1[[#This Row],[Item_Rehab_WL]],[1]!Table2[#All],4,FALSE),0)</f>
        <v>0</v>
      </c>
      <c r="AE155" s="25">
        <f>IF(Table1[[#This Row],[Adjusted_ULife_HP]]=1,VLOOKUP(Table1[[#This Row],[Item_Handpump]],[1]!Table2[#All],4,FALSE),0)</f>
        <v>0</v>
      </c>
      <c r="AF155" s="25">
        <f>IF(Table1[[#This Row],[Adjusted_ULife_PF]]=1,VLOOKUP(Table1[[#This Row],[Item_Platform]],[1]!Table2[#All],4,FALSE),0)</f>
        <v>0</v>
      </c>
      <c r="AG155" s="25">
        <f>SUM(Table1[[#This Row],[yr 1_wl]:[yr 1_pf]])</f>
        <v>0</v>
      </c>
      <c r="AH155" s="25">
        <f>IF(Table1[[#This Row],[Years_Next_Rehab_Well]]=2,VLOOKUP(Table1[[#This Row],[Item_Rehab_WL]],[1]!Table2[#All],5,FALSE),0)</f>
        <v>0</v>
      </c>
      <c r="AI155" s="25">
        <f>IF(Table1[[#This Row],[Adjusted_ULife_HP]]=2,VLOOKUP(Table1[[#This Row],[Item_Handpump]],[1]!Table2[#All],5,FALSE),0)</f>
        <v>0</v>
      </c>
      <c r="AJ155" s="25">
        <f>IF(Table1[[#This Row],[Adjusted_ULife_PF]]=2,VLOOKUP(Table1[[#This Row],[Item_Platform]],[1]!Table2[#All],5,FALSE),0)</f>
        <v>0</v>
      </c>
      <c r="AK155" s="25">
        <f>SUM(Table1[[#This Row],[yr 2_wl]:[yr 2_pf]])</f>
        <v>0</v>
      </c>
      <c r="AL155" s="25">
        <f>IF(Table1[[#This Row],[Years_Next_Rehab_Well]]=3,VLOOKUP(Table1[[#This Row],[Item_Rehab_WL]],[1]!Table2[#All],6,FALSE),0)</f>
        <v>0</v>
      </c>
      <c r="AM155" s="25">
        <f>IF(Table1[[#This Row],[Adjusted_ULife_HP]]=3,VLOOKUP(Table1[[#This Row],[Item_Handpump]],[1]!Table2[#All],6,FALSE),0)</f>
        <v>0</v>
      </c>
      <c r="AN155" s="25">
        <f>IF(Table1[[#This Row],[Adjusted_ULife_PF]]=3,VLOOKUP(Table1[[#This Row],[Item_Platform]],[1]!Table2[#All],6,FALSE),0)</f>
        <v>0</v>
      </c>
      <c r="AO155" s="25">
        <f>SUM(Table1[[#This Row],[yr 3_wl]:[yr 3_pf]])</f>
        <v>0</v>
      </c>
      <c r="AP155" s="25">
        <f>IF(Table1[[#This Row],[Years_Next_Rehab_Well]]=4,VLOOKUP(Table1[[#This Row],[Item_Rehab_WL]],[1]!Table2[#All],7,FALSE),0)</f>
        <v>0</v>
      </c>
      <c r="AQ155" s="25">
        <f>IF(Table1[[#This Row],[Adjusted_ULife_HP]]=4,VLOOKUP(Table1[[#This Row],[Item_Handpump]],[1]!Table2[#All],7,FALSE),0)</f>
        <v>0</v>
      </c>
      <c r="AR155" s="25">
        <f>IF(Table1[[#This Row],[Adjusted_ULife_PF]]=4,VLOOKUP(Table1[[#This Row],[Item_Platform]],[1]!Table2[#All],7,FALSE),0)</f>
        <v>0</v>
      </c>
      <c r="AS155" s="25">
        <f>SUM(Table1[[#This Row],[yr 4_wl]:[yr 4_pf]])</f>
        <v>0</v>
      </c>
      <c r="AT155" s="25">
        <f>IF(Table1[[#This Row],[Years_Next_Rehab_Well]]=5,VLOOKUP(Table1[[#This Row],[Item_Rehab_WL]],[1]!Table2[#All],8,FALSE),0)</f>
        <v>0</v>
      </c>
      <c r="AU155" s="25">
        <f>IF(Table1[[#This Row],[Adjusted_ULife_HP]]=5,VLOOKUP(Table1[[#This Row],[Item_Handpump]],[1]!Table2[#All],8,FALSE),0)</f>
        <v>0</v>
      </c>
      <c r="AV155" s="25">
        <f>IF(Table1[[#This Row],[Adjusted_ULife_PF]]=5,VLOOKUP(Table1[[#This Row],[Item_Platform]],[1]!Table2[#All],8,FALSE),0)</f>
        <v>0</v>
      </c>
      <c r="AW155" s="25">
        <f>SUM(Table1[[#This Row],[yr 5_wl]:[yr 5_pf]])</f>
        <v>0</v>
      </c>
      <c r="AX155" s="25">
        <f>IF(Table1[[#This Row],[Years_Next_Rehab_Well]]=6,VLOOKUP(Table1[[#This Row],[Item_Rehab_WL]],[1]!Table2[#All],9,FALSE),0)</f>
        <v>0</v>
      </c>
      <c r="AY155" s="25">
        <f>IF(Table1[[#This Row],[Adjusted_ULife_HP]]=6,VLOOKUP(Table1[[#This Row],[Item_Handpump]],[1]!Table2[#All],9,FALSE),0)</f>
        <v>0</v>
      </c>
      <c r="AZ155" s="25">
        <f>IF(Table1[[#This Row],[Adjusted_ULife_PF]]=6,VLOOKUP(Table1[[#This Row],[Item_Platform]],[1]!Table2[#All],9,FALSE),0)</f>
        <v>0</v>
      </c>
      <c r="BA155" s="25">
        <f>SUM(Table1[[#This Row],[yr 6_wl]:[yr 6_pf]])</f>
        <v>0</v>
      </c>
      <c r="BB155" s="25">
        <f>IF(Table1[[#This Row],[Years_Next_Rehab_Well]]=7,VLOOKUP(Table1[[#This Row],[Item_Rehab_WL]],[1]!Table2[#All],10,FALSE),0)</f>
        <v>0</v>
      </c>
      <c r="BC155" s="25">
        <f>IF(Table1[[#This Row],[Adjusted_ULife_HP]]=7,VLOOKUP(Table1[[#This Row],[Item_Handpump]],[1]!Table2[#All],10,FALSE),0)</f>
        <v>0</v>
      </c>
      <c r="BD155" s="25">
        <f>IF(Table1[[#This Row],[Adjusted_ULife_PF]]=7,VLOOKUP(Table1[[#This Row],[Item_Platform]],[1]!Table2[#All],10,FALSE),0)</f>
        <v>3316.0221111091228</v>
      </c>
      <c r="BE155" s="25">
        <f>SUM(Table1[[#This Row],[yr 7_wl]:[yr 7_pf]])</f>
        <v>3316.0221111091228</v>
      </c>
      <c r="BF155" s="25">
        <f>IF(Table1[[#This Row],[Years_Next_Rehab_Well]]=8,VLOOKUP(Table1[[#This Row],[Item_Rehab_WL]],[1]!Table2[#All],11,FALSE),0)</f>
        <v>0</v>
      </c>
      <c r="BG155" s="25">
        <f>IF(Table1[[#This Row],[Adjusted_ULife_HP]]=8,VLOOKUP(Table1[[#This Row],[Item_Handpump]],[1]!Table2[#All],11,FALSE),0)</f>
        <v>0</v>
      </c>
      <c r="BH155" s="25">
        <f>IF(Table1[[#This Row],[Adjusted_ULife_PF]]=8,VLOOKUP(Table1[[#This Row],[Item_Platform]],[1]!Table2[#All],11,FALSE),0)</f>
        <v>0</v>
      </c>
      <c r="BI155" s="25">
        <f>SUM(Table1[[#This Row],[yr 8_wl]:[yr 8_pf]])</f>
        <v>0</v>
      </c>
      <c r="BJ155" s="25">
        <f>IF(Table1[[#This Row],[Years_Next_Rehab_Well]]=9,VLOOKUP(Table1[[#This Row],[Item_Rehab_WL]],[1]!Table2[#All],12,FALSE),0)</f>
        <v>0</v>
      </c>
      <c r="BK155" s="25">
        <f>IF(Table1[[#This Row],[Adjusted_ULife_HP]]=9,VLOOKUP(Table1[[#This Row],[Item_Handpump]],[1]!Table2[#All],12,FALSE),0)</f>
        <v>0</v>
      </c>
      <c r="BL155" s="25">
        <f>IF(Table1[[#This Row],[Adjusted_ULife_PF]]=9,VLOOKUP(Table1[[#This Row],[Item_Platform]],[1]!Table2[#All],12,FALSE),0)</f>
        <v>0</v>
      </c>
      <c r="BM155" s="25">
        <f>SUM(Table1[[#This Row],[yr 9_wl]:[yr 9_pf]])</f>
        <v>0</v>
      </c>
      <c r="BN155" s="25">
        <f>IF(Table1[[#This Row],[Years_Next_Rehab_Well]]=10,VLOOKUP(Table1[[#This Row],[Item_Rehab_WL]],[1]!Table2[#All],13,FALSE),0)</f>
        <v>0</v>
      </c>
      <c r="BO155" s="25">
        <f>IF(Table1[[#This Row],[Adjusted_ULife_HP]]=10,VLOOKUP(Table1[[#This Row],[Item_Handpump]],[1]!Table2[#All],13,FALSE),0)</f>
        <v>0</v>
      </c>
      <c r="BP155" s="25">
        <f>IF(Table1[[#This Row],[Adjusted_ULife_PF]]=10,VLOOKUP(Table1[[#This Row],[Item_Platform]],[1]!Table2[#All],13,FALSE),0)</f>
        <v>0</v>
      </c>
      <c r="BQ155" s="25">
        <f>SUM(Table1[[#This Row],[yr 10_wl]:[yr 10_pf]])</f>
        <v>0</v>
      </c>
      <c r="BR155" s="25">
        <f>IF(Table1[[#This Row],[Years_Next_Rehab_Well]]=11,VLOOKUP(Table1[[#This Row],[Item_Rehab_WL]],[1]!Table2[#All],14,FALSE),0)</f>
        <v>0</v>
      </c>
      <c r="BS155" s="25">
        <f>IF(Table1[[#This Row],[Adjusted_ULife_HP]]=11,VLOOKUP(Table1[[#This Row],[Item_Handpump]],[1]!Table2[#All],14,FALSE),0)</f>
        <v>0</v>
      </c>
      <c r="BT155" s="25">
        <f>IF(Table1[[#This Row],[Adjusted_ULife_PF]]=11,VLOOKUP(Table1[[#This Row],[Item_Platform]],[1]!Table2[#All],14,FALSE),0)</f>
        <v>0</v>
      </c>
      <c r="BU155" s="25">
        <f>SUM(Table1[[#This Row],[yr 11_wl]:[yr 11_pf]])</f>
        <v>0</v>
      </c>
      <c r="BV155" s="25">
        <f>IF(Table1[[#This Row],[Years_Next_Rehab_Well]]=12,VLOOKUP(Table1[[#This Row],[Item_Rehab_WL]],[1]!Table2[#All],15,FALSE),0)</f>
        <v>0</v>
      </c>
      <c r="BW155" s="25">
        <f>IF(Table1[[#This Row],[Adjusted_ULife_HP]]=12,VLOOKUP(Table1[[#This Row],[Item_Handpump]],[1]!Table2[#All],15,FALSE),0)</f>
        <v>0</v>
      </c>
      <c r="BX155" s="25">
        <f>IF(Table1[[#This Row],[Adjusted_ULife_PF]]=12,VLOOKUP(Table1[[#This Row],[Item_Platform]],[1]!Table2[#All],15,FALSE),0)</f>
        <v>0</v>
      </c>
      <c r="BY155" s="25">
        <f>SUM(Table1[[#This Row],[yr 12_wl]:[yr 12_pf]])</f>
        <v>0</v>
      </c>
      <c r="BZ155" s="25">
        <f>IF(Table1[[#This Row],[Years_Next_Rehab_Well]]=13,VLOOKUP(Table1[[#This Row],[Item_Rehab_WL]],[1]!Table2[#All],16,FALSE),0)</f>
        <v>0</v>
      </c>
      <c r="CA155" s="25">
        <f>IF(Table1[[#This Row],[Adjusted_ULife_HP]]=13,VLOOKUP(Table1[[#This Row],[Item_Handpump]],[1]!Table2[#All],16,FALSE),0)</f>
        <v>0</v>
      </c>
      <c r="CB155" s="25">
        <f>IF(Table1[[#This Row],[Adjusted_ULife_PF]]=13,VLOOKUP(Table1[[#This Row],[Item_Platform]],[1]!Table2[#All],16,FALSE),0)</f>
        <v>0</v>
      </c>
      <c r="CC155" s="25">
        <f>SUM(Table1[[#This Row],[yr 13_wl]:[yr 13_pf]])</f>
        <v>0</v>
      </c>
      <c r="CD155" s="12"/>
    </row>
    <row r="156" spans="1:82" s="11" customFormat="1" x14ac:dyDescent="0.25">
      <c r="A156" s="11" t="str">
        <f>IF([1]Input_monitoring_data!A152="","",[1]Input_monitoring_data!A152)</f>
        <v>v2d6-4hyj-wcne</v>
      </c>
      <c r="B156" s="22" t="str">
        <f>[1]Input_monitoring_data!BH152</f>
        <v>Kenyasi No.2</v>
      </c>
      <c r="C156" s="22" t="str">
        <f>[1]Input_monitoring_data!BI152</f>
        <v>Dokyikrom</v>
      </c>
      <c r="D156" s="22" t="str">
        <f>[1]Input_monitoring_data!P152</f>
        <v>7.043206235963238</v>
      </c>
      <c r="E156" s="22" t="str">
        <f>[1]Input_monitoring_data!Q152</f>
        <v>-2.3976723180503137</v>
      </c>
      <c r="F156" s="22" t="str">
        <f>[1]Input_monitoring_data!V152</f>
        <v>D/A School Premises</v>
      </c>
      <c r="G156" s="23" t="str">
        <f>[1]Input_monitoring_data!U152</f>
        <v>Borehole</v>
      </c>
      <c r="H156" s="22">
        <f>[1]Input_monitoring_data!X152</f>
        <v>2011</v>
      </c>
      <c r="I156" s="21" t="str">
        <f>[1]Input_monitoring_data!AB152</f>
        <v>Borehole redevelopment</v>
      </c>
      <c r="J156" s="21">
        <f>[1]Input_monitoring_data!AC152</f>
        <v>0</v>
      </c>
      <c r="K156" s="23" t="str">
        <f>[1]Input_monitoring_data!W152</f>
        <v>AfriDev</v>
      </c>
      <c r="L156" s="22">
        <f>[1]Input_monitoring_data!X152</f>
        <v>2011</v>
      </c>
      <c r="M156" s="21">
        <f>IF([1]Input_monitoring_data!BL152&gt;'Point Sources_Asset_Register_'!L156,[1]Input_monitoring_data!BL152,"")</f>
        <v>2014</v>
      </c>
      <c r="N156" s="22" t="str">
        <f>[1]Input_monitoring_data!BQ152</f>
        <v>not functional</v>
      </c>
      <c r="O156" s="22">
        <f>[1]Input_monitoring_data!AJ152</f>
        <v>0</v>
      </c>
      <c r="P156" s="23" t="s">
        <v>0</v>
      </c>
      <c r="Q156" s="22">
        <f>L156</f>
        <v>2011</v>
      </c>
      <c r="R156" s="21">
        <f>M156</f>
        <v>2014</v>
      </c>
      <c r="S156" s="20">
        <f>[1]Input_EUL_CRC_ERC!$B$17-Table1[[#This Row],[Year Installed_WL]]</f>
        <v>6</v>
      </c>
      <c r="T156" s="20">
        <f>[1]Input_EUL_CRC_ERC!$B$17-(IF(Table1[[#This Row],[Year Last_Rehab_WL ]]=0,Table1[[#This Row],[Year Installed_WL]],[1]Input_EUL_CRC_ERC!$B$17-Table1[[#This Row],[Year Last_Rehab_WL ]]))</f>
        <v>6</v>
      </c>
      <c r="U156" s="20">
        <f>(VLOOKUP(Table1[[#This Row],[Item_Rehab_WL]],[1]Input_EUL_CRC_ERC!$C$17:$E$27,2,FALSE)-Table1[[#This Row],[Last Rehab Age]])</f>
        <v>9</v>
      </c>
      <c r="V156" s="19">
        <f>[1]Input_EUL_CRC_ERC!$B$17-Table1[[#This Row],[Year Installed_HP]]</f>
        <v>6</v>
      </c>
      <c r="W156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56" s="19">
        <f>[1]Input_EUL_CRC_ERC!$B$17-Table1[[#This Row],[Year Installed_PF]]</f>
        <v>6</v>
      </c>
      <c r="Y156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56" s="25">
        <f>IF(Table1[[#This Row],[Years_Next_Rehab_Well]]&lt;=0,VLOOKUP(Table1[[#This Row],[Item_Rehab_WL]],[1]!Table2[#All],3,FALSE),0)</f>
        <v>0</v>
      </c>
      <c r="AA156" s="18">
        <f>IF(Table1[[#This Row],[Adjusted_ULife_HP]]&lt;=0,VLOOKUP(Table1[[#This Row],[Item_Handpump]],[1]!Table2[#All],3,FALSE),0)</f>
        <v>0</v>
      </c>
      <c r="AB156" s="18">
        <f>IF(Table1[[#This Row],[Adjusted_ULife_PF]]&lt;=0,VLOOKUP(Table1[[#This Row],[Item_Platform]],[1]!Table2[#All],3,FALSE),0)</f>
        <v>0</v>
      </c>
      <c r="AC156" s="18">
        <f>SUM(Table1[[#This Row],[current yr_wl]:[current yr_pf]])</f>
        <v>0</v>
      </c>
      <c r="AD156" s="25">
        <f>IF(Table1[[#This Row],[Years_Next_Rehab_Well]]=1,VLOOKUP(Table1[[#This Row],[Item_Rehab_WL]],[1]!Table2[#All],4,FALSE),0)</f>
        <v>0</v>
      </c>
      <c r="AE156" s="25">
        <f>IF(Table1[[#This Row],[Adjusted_ULife_HP]]=1,VLOOKUP(Table1[[#This Row],[Item_Handpump]],[1]!Table2[#All],4,FALSE),0)</f>
        <v>0</v>
      </c>
      <c r="AF156" s="25">
        <f>IF(Table1[[#This Row],[Adjusted_ULife_PF]]=1,VLOOKUP(Table1[[#This Row],[Item_Platform]],[1]!Table2[#All],4,FALSE),0)</f>
        <v>0</v>
      </c>
      <c r="AG156" s="25">
        <f>SUM(Table1[[#This Row],[yr 1_wl]:[yr 1_pf]])</f>
        <v>0</v>
      </c>
      <c r="AH156" s="25">
        <f>IF(Table1[[#This Row],[Years_Next_Rehab_Well]]=2,VLOOKUP(Table1[[#This Row],[Item_Rehab_WL]],[1]!Table2[#All],5,FALSE),0)</f>
        <v>0</v>
      </c>
      <c r="AI156" s="25">
        <f>IF(Table1[[#This Row],[Adjusted_ULife_HP]]=2,VLOOKUP(Table1[[#This Row],[Item_Handpump]],[1]!Table2[#All],5,FALSE),0)</f>
        <v>0</v>
      </c>
      <c r="AJ156" s="25">
        <f>IF(Table1[[#This Row],[Adjusted_ULife_PF]]=2,VLOOKUP(Table1[[#This Row],[Item_Platform]],[1]!Table2[#All],5,FALSE),0)</f>
        <v>0</v>
      </c>
      <c r="AK156" s="25">
        <f>SUM(Table1[[#This Row],[yr 2_wl]:[yr 2_pf]])</f>
        <v>0</v>
      </c>
      <c r="AL156" s="25">
        <f>IF(Table1[[#This Row],[Years_Next_Rehab_Well]]=3,VLOOKUP(Table1[[#This Row],[Item_Rehab_WL]],[1]!Table2[#All],6,FALSE),0)</f>
        <v>0</v>
      </c>
      <c r="AM156" s="25">
        <f>IF(Table1[[#This Row],[Adjusted_ULife_HP]]=3,VLOOKUP(Table1[[#This Row],[Item_Handpump]],[1]!Table2[#All],6,FALSE),0)</f>
        <v>0</v>
      </c>
      <c r="AN156" s="25">
        <f>IF(Table1[[#This Row],[Adjusted_ULife_PF]]=3,VLOOKUP(Table1[[#This Row],[Item_Platform]],[1]!Table2[#All],6,FALSE),0)</f>
        <v>0</v>
      </c>
      <c r="AO156" s="25">
        <f>SUM(Table1[[#This Row],[yr 3_wl]:[yr 3_pf]])</f>
        <v>0</v>
      </c>
      <c r="AP156" s="25">
        <f>IF(Table1[[#This Row],[Years_Next_Rehab_Well]]=4,VLOOKUP(Table1[[#This Row],[Item_Rehab_WL]],[1]!Table2[#All],7,FALSE),0)</f>
        <v>0</v>
      </c>
      <c r="AQ156" s="25">
        <f>IF(Table1[[#This Row],[Adjusted_ULife_HP]]=4,VLOOKUP(Table1[[#This Row],[Item_Handpump]],[1]!Table2[#All],7,FALSE),0)</f>
        <v>0</v>
      </c>
      <c r="AR156" s="25">
        <f>IF(Table1[[#This Row],[Adjusted_ULife_PF]]=4,VLOOKUP(Table1[[#This Row],[Item_Platform]],[1]!Table2[#All],7,FALSE),0)</f>
        <v>0</v>
      </c>
      <c r="AS156" s="25">
        <f>SUM(Table1[[#This Row],[yr 4_wl]:[yr 4_pf]])</f>
        <v>0</v>
      </c>
      <c r="AT156" s="25">
        <f>IF(Table1[[#This Row],[Years_Next_Rehab_Well]]=5,VLOOKUP(Table1[[#This Row],[Item_Rehab_WL]],[1]!Table2[#All],8,FALSE),0)</f>
        <v>0</v>
      </c>
      <c r="AU156" s="25">
        <f>IF(Table1[[#This Row],[Adjusted_ULife_HP]]=5,VLOOKUP(Table1[[#This Row],[Item_Handpump]],[1]!Table2[#All],8,FALSE),0)</f>
        <v>0</v>
      </c>
      <c r="AV156" s="25">
        <f>IF(Table1[[#This Row],[Adjusted_ULife_PF]]=5,VLOOKUP(Table1[[#This Row],[Item_Platform]],[1]!Table2[#All],8,FALSE),0)</f>
        <v>0</v>
      </c>
      <c r="AW156" s="25">
        <f>SUM(Table1[[#This Row],[yr 5_wl]:[yr 5_pf]])</f>
        <v>0</v>
      </c>
      <c r="AX156" s="25">
        <f>IF(Table1[[#This Row],[Years_Next_Rehab_Well]]=6,VLOOKUP(Table1[[#This Row],[Item_Rehab_WL]],[1]!Table2[#All],9,FALSE),0)</f>
        <v>0</v>
      </c>
      <c r="AY156" s="25">
        <f>IF(Table1[[#This Row],[Adjusted_ULife_HP]]=6,VLOOKUP(Table1[[#This Row],[Item_Handpump]],[1]!Table2[#All],9,FALSE),0)</f>
        <v>0</v>
      </c>
      <c r="AZ156" s="25">
        <f>IF(Table1[[#This Row],[Adjusted_ULife_PF]]=6,VLOOKUP(Table1[[#This Row],[Item_Platform]],[1]!Table2[#All],9,FALSE),0)</f>
        <v>0</v>
      </c>
      <c r="BA156" s="25">
        <f>SUM(Table1[[#This Row],[yr 6_wl]:[yr 6_pf]])</f>
        <v>0</v>
      </c>
      <c r="BB156" s="25">
        <f>IF(Table1[[#This Row],[Years_Next_Rehab_Well]]=7,VLOOKUP(Table1[[#This Row],[Item_Rehab_WL]],[1]!Table2[#All],10,FALSE),0)</f>
        <v>0</v>
      </c>
      <c r="BC156" s="25">
        <f>IF(Table1[[#This Row],[Adjusted_ULife_HP]]=7,VLOOKUP(Table1[[#This Row],[Item_Handpump]],[1]!Table2[#All],10,FALSE),0)</f>
        <v>0</v>
      </c>
      <c r="BD156" s="25">
        <f>IF(Table1[[#This Row],[Adjusted_ULife_PF]]=7,VLOOKUP(Table1[[#This Row],[Item_Platform]],[1]!Table2[#All],10,FALSE),0)</f>
        <v>3316.0221111091228</v>
      </c>
      <c r="BE156" s="25">
        <f>SUM(Table1[[#This Row],[yr 7_wl]:[yr 7_pf]])</f>
        <v>3316.0221111091228</v>
      </c>
      <c r="BF156" s="25">
        <f>IF(Table1[[#This Row],[Years_Next_Rehab_Well]]=8,VLOOKUP(Table1[[#This Row],[Item_Rehab_WL]],[1]!Table2[#All],11,FALSE),0)</f>
        <v>0</v>
      </c>
      <c r="BG156" s="25">
        <f>IF(Table1[[#This Row],[Adjusted_ULife_HP]]=8,VLOOKUP(Table1[[#This Row],[Item_Handpump]],[1]!Table2[#All],11,FALSE),0)</f>
        <v>0</v>
      </c>
      <c r="BH156" s="25">
        <f>IF(Table1[[#This Row],[Adjusted_ULife_PF]]=8,VLOOKUP(Table1[[#This Row],[Item_Platform]],[1]!Table2[#All],11,FALSE),0)</f>
        <v>0</v>
      </c>
      <c r="BI156" s="25">
        <f>SUM(Table1[[#This Row],[yr 8_wl]:[yr 8_pf]])</f>
        <v>0</v>
      </c>
      <c r="BJ156" s="25">
        <f>IF(Table1[[#This Row],[Years_Next_Rehab_Well]]=9,VLOOKUP(Table1[[#This Row],[Item_Rehab_WL]],[1]!Table2[#All],12,FALSE),0)</f>
        <v>10167.955443984027</v>
      </c>
      <c r="BK156" s="25">
        <f>IF(Table1[[#This Row],[Adjusted_ULife_HP]]=9,VLOOKUP(Table1[[#This Row],[Item_Handpump]],[1]!Table2[#All],12,FALSE),0)</f>
        <v>0</v>
      </c>
      <c r="BL156" s="25">
        <f>IF(Table1[[#This Row],[Adjusted_ULife_PF]]=9,VLOOKUP(Table1[[#This Row],[Item_Platform]],[1]!Table2[#All],12,FALSE),0)</f>
        <v>0</v>
      </c>
      <c r="BM156" s="25">
        <f>SUM(Table1[[#This Row],[yr 9_wl]:[yr 9_pf]])</f>
        <v>10167.955443984027</v>
      </c>
      <c r="BN156" s="25">
        <f>IF(Table1[[#This Row],[Years_Next_Rehab_Well]]=10,VLOOKUP(Table1[[#This Row],[Item_Rehab_WL]],[1]!Table2[#All],13,FALSE),0)</f>
        <v>0</v>
      </c>
      <c r="BO156" s="25">
        <f>IF(Table1[[#This Row],[Adjusted_ULife_HP]]=10,VLOOKUP(Table1[[#This Row],[Item_Handpump]],[1]!Table2[#All],13,FALSE),0)</f>
        <v>0</v>
      </c>
      <c r="BP156" s="25">
        <f>IF(Table1[[#This Row],[Adjusted_ULife_PF]]=10,VLOOKUP(Table1[[#This Row],[Item_Platform]],[1]!Table2[#All],13,FALSE),0)</f>
        <v>0</v>
      </c>
      <c r="BQ156" s="25">
        <f>SUM(Table1[[#This Row],[yr 10_wl]:[yr 10_pf]])</f>
        <v>0</v>
      </c>
      <c r="BR156" s="25">
        <f>IF(Table1[[#This Row],[Years_Next_Rehab_Well]]=11,VLOOKUP(Table1[[#This Row],[Item_Rehab_WL]],[1]!Table2[#All],14,FALSE),0)</f>
        <v>0</v>
      </c>
      <c r="BS156" s="25">
        <f>IF(Table1[[#This Row],[Adjusted_ULife_HP]]=11,VLOOKUP(Table1[[#This Row],[Item_Handpump]],[1]!Table2[#All],14,FALSE),0)</f>
        <v>0</v>
      </c>
      <c r="BT156" s="25">
        <f>IF(Table1[[#This Row],[Adjusted_ULife_PF]]=11,VLOOKUP(Table1[[#This Row],[Item_Platform]],[1]!Table2[#All],14,FALSE),0)</f>
        <v>0</v>
      </c>
      <c r="BU156" s="25">
        <f>SUM(Table1[[#This Row],[yr 11_wl]:[yr 11_pf]])</f>
        <v>0</v>
      </c>
      <c r="BV156" s="25">
        <f>IF(Table1[[#This Row],[Years_Next_Rehab_Well]]=12,VLOOKUP(Table1[[#This Row],[Item_Rehab_WL]],[1]!Table2[#All],15,FALSE),0)</f>
        <v>0</v>
      </c>
      <c r="BW156" s="25">
        <f>IF(Table1[[#This Row],[Adjusted_ULife_HP]]=12,VLOOKUP(Table1[[#This Row],[Item_Handpump]],[1]!Table2[#All],15,FALSE),0)</f>
        <v>0</v>
      </c>
      <c r="BX156" s="25">
        <f>IF(Table1[[#This Row],[Adjusted_ULife_PF]]=12,VLOOKUP(Table1[[#This Row],[Item_Platform]],[1]!Table2[#All],15,FALSE),0)</f>
        <v>0</v>
      </c>
      <c r="BY156" s="25">
        <f>SUM(Table1[[#This Row],[yr 12_wl]:[yr 12_pf]])</f>
        <v>0</v>
      </c>
      <c r="BZ156" s="25">
        <f>IF(Table1[[#This Row],[Years_Next_Rehab_Well]]=13,VLOOKUP(Table1[[#This Row],[Item_Rehab_WL]],[1]!Table2[#All],16,FALSE),0)</f>
        <v>0</v>
      </c>
      <c r="CA156" s="25">
        <f>IF(Table1[[#This Row],[Adjusted_ULife_HP]]=13,VLOOKUP(Table1[[#This Row],[Item_Handpump]],[1]!Table2[#All],16,FALSE),0)</f>
        <v>0</v>
      </c>
      <c r="CB156" s="25">
        <f>IF(Table1[[#This Row],[Adjusted_ULife_PF]]=13,VLOOKUP(Table1[[#This Row],[Item_Platform]],[1]!Table2[#All],16,FALSE),0)</f>
        <v>0</v>
      </c>
      <c r="CC156" s="25">
        <f>SUM(Table1[[#This Row],[yr 13_wl]:[yr 13_pf]])</f>
        <v>0</v>
      </c>
      <c r="CD156" s="12"/>
    </row>
    <row r="157" spans="1:82" s="11" customFormat="1" x14ac:dyDescent="0.25">
      <c r="A157" s="11" t="str">
        <f>IF([1]Input_monitoring_data!A153="","",[1]Input_monitoring_data!A153)</f>
        <v>v8cu-10uq-shw4</v>
      </c>
      <c r="B157" s="22" t="str">
        <f>[1]Input_monitoring_data!BH153</f>
        <v>Kenyasi No.1</v>
      </c>
      <c r="C157" s="22" t="str">
        <f>[1]Input_monitoring_data!BI153</f>
        <v>Agya Adusei Akuraa</v>
      </c>
      <c r="D157" s="22" t="str">
        <f>[1]Input_monitoring_data!P153</f>
        <v>6.974042787308343</v>
      </c>
      <c r="E157" s="22" t="str">
        <f>[1]Input_monitoring_data!Q153</f>
        <v>-2.44353350391701</v>
      </c>
      <c r="F157" s="22" t="str">
        <f>[1]Input_monitoring_data!V153</f>
        <v>Close To Agya Adusei House</v>
      </c>
      <c r="G157" s="23" t="str">
        <f>[1]Input_monitoring_data!U153</f>
        <v>Borehole</v>
      </c>
      <c r="H157" s="22">
        <f>[1]Input_monitoring_data!X153</f>
        <v>2012</v>
      </c>
      <c r="I157" s="21" t="str">
        <f>[1]Input_monitoring_data!AB153</f>
        <v>Borehole redevelopment</v>
      </c>
      <c r="J157" s="21">
        <f>[1]Input_monitoring_data!AC153</f>
        <v>0</v>
      </c>
      <c r="K157" s="23" t="str">
        <f>[1]Input_monitoring_data!W153</f>
        <v>AfriDev</v>
      </c>
      <c r="L157" s="22">
        <f>[1]Input_monitoring_data!X153</f>
        <v>2012</v>
      </c>
      <c r="M157" s="21">
        <f>IF([1]Input_monitoring_data!BL153&gt;'Point Sources_Asset_Register_'!L157,[1]Input_monitoring_data!BL153,"")</f>
        <v>2017</v>
      </c>
      <c r="N157" s="22" t="str">
        <f>[1]Input_monitoring_data!BQ153</f>
        <v>functional</v>
      </c>
      <c r="O157" s="22">
        <f>[1]Input_monitoring_data!AJ153</f>
        <v>0</v>
      </c>
      <c r="P157" s="23" t="s">
        <v>0</v>
      </c>
      <c r="Q157" s="22">
        <f>L157</f>
        <v>2012</v>
      </c>
      <c r="R157" s="21">
        <f>M157</f>
        <v>2017</v>
      </c>
      <c r="S157" s="20">
        <f>[1]Input_EUL_CRC_ERC!$B$17-Table1[[#This Row],[Year Installed_WL]]</f>
        <v>5</v>
      </c>
      <c r="T157" s="20">
        <f>[1]Input_EUL_CRC_ERC!$B$17-(IF(Table1[[#This Row],[Year Last_Rehab_WL ]]=0,Table1[[#This Row],[Year Installed_WL]],[1]Input_EUL_CRC_ERC!$B$17-Table1[[#This Row],[Year Last_Rehab_WL ]]))</f>
        <v>5</v>
      </c>
      <c r="U157" s="20">
        <f>(VLOOKUP(Table1[[#This Row],[Item_Rehab_WL]],[1]Input_EUL_CRC_ERC!$C$17:$E$27,2,FALSE)-Table1[[#This Row],[Last Rehab Age]])</f>
        <v>10</v>
      </c>
      <c r="V157" s="19">
        <f>[1]Input_EUL_CRC_ERC!$B$17-Table1[[#This Row],[Year Installed_HP]]</f>
        <v>5</v>
      </c>
      <c r="W157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57" s="19">
        <f>[1]Input_EUL_CRC_ERC!$B$17-Table1[[#This Row],[Year Installed_PF]]</f>
        <v>5</v>
      </c>
      <c r="Y157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57" s="25">
        <f>IF(Table1[[#This Row],[Years_Next_Rehab_Well]]&lt;=0,VLOOKUP(Table1[[#This Row],[Item_Rehab_WL]],[1]!Table2[#All],3,FALSE),0)</f>
        <v>0</v>
      </c>
      <c r="AA157" s="18">
        <f>IF(Table1[[#This Row],[Adjusted_ULife_HP]]&lt;=0,VLOOKUP(Table1[[#This Row],[Item_Handpump]],[1]!Table2[#All],3,FALSE),0)</f>
        <v>0</v>
      </c>
      <c r="AB157" s="18">
        <f>IF(Table1[[#This Row],[Adjusted_ULife_PF]]&lt;=0,VLOOKUP(Table1[[#This Row],[Item_Platform]],[1]!Table2[#All],3,FALSE),0)</f>
        <v>0</v>
      </c>
      <c r="AC157" s="18">
        <f>SUM(Table1[[#This Row],[current yr_wl]:[current yr_pf]])</f>
        <v>0</v>
      </c>
      <c r="AD157" s="25">
        <f>IF(Table1[[#This Row],[Years_Next_Rehab_Well]]=1,VLOOKUP(Table1[[#This Row],[Item_Rehab_WL]],[1]!Table2[#All],4,FALSE),0)</f>
        <v>0</v>
      </c>
      <c r="AE157" s="25">
        <f>IF(Table1[[#This Row],[Adjusted_ULife_HP]]=1,VLOOKUP(Table1[[#This Row],[Item_Handpump]],[1]!Table2[#All],4,FALSE),0)</f>
        <v>0</v>
      </c>
      <c r="AF157" s="25">
        <f>IF(Table1[[#This Row],[Adjusted_ULife_PF]]=1,VLOOKUP(Table1[[#This Row],[Item_Platform]],[1]!Table2[#All],4,FALSE),0)</f>
        <v>0</v>
      </c>
      <c r="AG157" s="25">
        <f>SUM(Table1[[#This Row],[yr 1_wl]:[yr 1_pf]])</f>
        <v>0</v>
      </c>
      <c r="AH157" s="25">
        <f>IF(Table1[[#This Row],[Years_Next_Rehab_Well]]=2,VLOOKUP(Table1[[#This Row],[Item_Rehab_WL]],[1]!Table2[#All],5,FALSE),0)</f>
        <v>0</v>
      </c>
      <c r="AI157" s="25">
        <f>IF(Table1[[#This Row],[Adjusted_ULife_HP]]=2,VLOOKUP(Table1[[#This Row],[Item_Handpump]],[1]!Table2[#All],5,FALSE),0)</f>
        <v>0</v>
      </c>
      <c r="AJ157" s="25">
        <f>IF(Table1[[#This Row],[Adjusted_ULife_PF]]=2,VLOOKUP(Table1[[#This Row],[Item_Platform]],[1]!Table2[#All],5,FALSE),0)</f>
        <v>0</v>
      </c>
      <c r="AK157" s="25">
        <f>SUM(Table1[[#This Row],[yr 2_wl]:[yr 2_pf]])</f>
        <v>0</v>
      </c>
      <c r="AL157" s="25">
        <f>IF(Table1[[#This Row],[Years_Next_Rehab_Well]]=3,VLOOKUP(Table1[[#This Row],[Item_Rehab_WL]],[1]!Table2[#All],6,FALSE),0)</f>
        <v>0</v>
      </c>
      <c r="AM157" s="25">
        <f>IF(Table1[[#This Row],[Adjusted_ULife_HP]]=3,VLOOKUP(Table1[[#This Row],[Item_Handpump]],[1]!Table2[#All],6,FALSE),0)</f>
        <v>0</v>
      </c>
      <c r="AN157" s="25">
        <f>IF(Table1[[#This Row],[Adjusted_ULife_PF]]=3,VLOOKUP(Table1[[#This Row],[Item_Platform]],[1]!Table2[#All],6,FALSE),0)</f>
        <v>0</v>
      </c>
      <c r="AO157" s="25">
        <f>SUM(Table1[[#This Row],[yr 3_wl]:[yr 3_pf]])</f>
        <v>0</v>
      </c>
      <c r="AP157" s="25">
        <f>IF(Table1[[#This Row],[Years_Next_Rehab_Well]]=4,VLOOKUP(Table1[[#This Row],[Item_Rehab_WL]],[1]!Table2[#All],7,FALSE),0)</f>
        <v>0</v>
      </c>
      <c r="AQ157" s="25">
        <f>IF(Table1[[#This Row],[Adjusted_ULife_HP]]=4,VLOOKUP(Table1[[#This Row],[Item_Handpump]],[1]!Table2[#All],7,FALSE),0)</f>
        <v>0</v>
      </c>
      <c r="AR157" s="25">
        <f>IF(Table1[[#This Row],[Adjusted_ULife_PF]]=4,VLOOKUP(Table1[[#This Row],[Item_Platform]],[1]!Table2[#All],7,FALSE),0)</f>
        <v>0</v>
      </c>
      <c r="AS157" s="25">
        <f>SUM(Table1[[#This Row],[yr 4_wl]:[yr 4_pf]])</f>
        <v>0</v>
      </c>
      <c r="AT157" s="25">
        <f>IF(Table1[[#This Row],[Years_Next_Rehab_Well]]=5,VLOOKUP(Table1[[#This Row],[Item_Rehab_WL]],[1]!Table2[#All],8,FALSE),0)</f>
        <v>0</v>
      </c>
      <c r="AU157" s="25">
        <f>IF(Table1[[#This Row],[Adjusted_ULife_HP]]=5,VLOOKUP(Table1[[#This Row],[Item_Handpump]],[1]!Table2[#All],8,FALSE),0)</f>
        <v>0</v>
      </c>
      <c r="AV157" s="25">
        <f>IF(Table1[[#This Row],[Adjusted_ULife_PF]]=5,VLOOKUP(Table1[[#This Row],[Item_Platform]],[1]!Table2[#All],8,FALSE),0)</f>
        <v>0</v>
      </c>
      <c r="AW157" s="25">
        <f>SUM(Table1[[#This Row],[yr 5_wl]:[yr 5_pf]])</f>
        <v>0</v>
      </c>
      <c r="AX157" s="25">
        <f>IF(Table1[[#This Row],[Years_Next_Rehab_Well]]=6,VLOOKUP(Table1[[#This Row],[Item_Rehab_WL]],[1]!Table2[#All],9,FALSE),0)</f>
        <v>0</v>
      </c>
      <c r="AY157" s="25">
        <f>IF(Table1[[#This Row],[Adjusted_ULife_HP]]=6,VLOOKUP(Table1[[#This Row],[Item_Handpump]],[1]!Table2[#All],9,FALSE),0)</f>
        <v>0</v>
      </c>
      <c r="AZ157" s="25">
        <f>IF(Table1[[#This Row],[Adjusted_ULife_PF]]=6,VLOOKUP(Table1[[#This Row],[Item_Platform]],[1]!Table2[#All],9,FALSE),0)</f>
        <v>0</v>
      </c>
      <c r="BA157" s="25">
        <f>SUM(Table1[[#This Row],[yr 6_wl]:[yr 6_pf]])</f>
        <v>0</v>
      </c>
      <c r="BB157" s="25">
        <f>IF(Table1[[#This Row],[Years_Next_Rehab_Well]]=7,VLOOKUP(Table1[[#This Row],[Item_Rehab_WL]],[1]!Table2[#All],10,FALSE),0)</f>
        <v>0</v>
      </c>
      <c r="BC157" s="25">
        <f>IF(Table1[[#This Row],[Adjusted_ULife_HP]]=7,VLOOKUP(Table1[[#This Row],[Item_Handpump]],[1]!Table2[#All],10,FALSE),0)</f>
        <v>0</v>
      </c>
      <c r="BD157" s="25">
        <f>IF(Table1[[#This Row],[Adjusted_ULife_PF]]=7,VLOOKUP(Table1[[#This Row],[Item_Platform]],[1]!Table2[#All],10,FALSE),0)</f>
        <v>0</v>
      </c>
      <c r="BE157" s="25">
        <f>SUM(Table1[[#This Row],[yr 7_wl]:[yr 7_pf]])</f>
        <v>0</v>
      </c>
      <c r="BF157" s="25">
        <f>IF(Table1[[#This Row],[Years_Next_Rehab_Well]]=8,VLOOKUP(Table1[[#This Row],[Item_Rehab_WL]],[1]!Table2[#All],11,FALSE),0)</f>
        <v>0</v>
      </c>
      <c r="BG157" s="25">
        <f>IF(Table1[[#This Row],[Adjusted_ULife_HP]]=8,VLOOKUP(Table1[[#This Row],[Item_Handpump]],[1]!Table2[#All],11,FALSE),0)</f>
        <v>0</v>
      </c>
      <c r="BH157" s="25">
        <f>IF(Table1[[#This Row],[Adjusted_ULife_PF]]=8,VLOOKUP(Table1[[#This Row],[Item_Platform]],[1]!Table2[#All],11,FALSE),0)</f>
        <v>0</v>
      </c>
      <c r="BI157" s="25">
        <f>SUM(Table1[[#This Row],[yr 8_wl]:[yr 8_pf]])</f>
        <v>0</v>
      </c>
      <c r="BJ157" s="25">
        <f>IF(Table1[[#This Row],[Years_Next_Rehab_Well]]=9,VLOOKUP(Table1[[#This Row],[Item_Rehab_WL]],[1]!Table2[#All],12,FALSE),0)</f>
        <v>0</v>
      </c>
      <c r="BK157" s="25">
        <f>IF(Table1[[#This Row],[Adjusted_ULife_HP]]=9,VLOOKUP(Table1[[#This Row],[Item_Handpump]],[1]!Table2[#All],12,FALSE),0)</f>
        <v>0</v>
      </c>
      <c r="BL157" s="25">
        <f>IF(Table1[[#This Row],[Adjusted_ULife_PF]]=9,VLOOKUP(Table1[[#This Row],[Item_Platform]],[1]!Table2[#All],12,FALSE),0)</f>
        <v>0</v>
      </c>
      <c r="BM157" s="25">
        <f>SUM(Table1[[#This Row],[yr 9_wl]:[yr 9_pf]])</f>
        <v>0</v>
      </c>
      <c r="BN157" s="25">
        <f>IF(Table1[[#This Row],[Years_Next_Rehab_Well]]=10,VLOOKUP(Table1[[#This Row],[Item_Rehab_WL]],[1]!Table2[#All],13,FALSE),0)</f>
        <v>11388.110097262112</v>
      </c>
      <c r="BO157" s="25">
        <f>IF(Table1[[#This Row],[Adjusted_ULife_HP]]=10,VLOOKUP(Table1[[#This Row],[Item_Handpump]],[1]!Table2[#All],13,FALSE),0)</f>
        <v>0</v>
      </c>
      <c r="BP157" s="25">
        <f>IF(Table1[[#This Row],[Adjusted_ULife_PF]]=10,VLOOKUP(Table1[[#This Row],[Item_Platform]],[1]!Table2[#All],13,FALSE),0)</f>
        <v>4658.7723125163184</v>
      </c>
      <c r="BQ157" s="25">
        <f>SUM(Table1[[#This Row],[yr 10_wl]:[yr 10_pf]])</f>
        <v>16046.882409778431</v>
      </c>
      <c r="BR157" s="25">
        <f>IF(Table1[[#This Row],[Years_Next_Rehab_Well]]=11,VLOOKUP(Table1[[#This Row],[Item_Rehab_WL]],[1]!Table2[#All],14,FALSE),0)</f>
        <v>0</v>
      </c>
      <c r="BS157" s="25">
        <f>IF(Table1[[#This Row],[Adjusted_ULife_HP]]=11,VLOOKUP(Table1[[#This Row],[Item_Handpump]],[1]!Table2[#All],14,FALSE),0)</f>
        <v>0</v>
      </c>
      <c r="BT157" s="25">
        <f>IF(Table1[[#This Row],[Adjusted_ULife_PF]]=11,VLOOKUP(Table1[[#This Row],[Item_Platform]],[1]!Table2[#All],14,FALSE),0)</f>
        <v>0</v>
      </c>
      <c r="BU157" s="25">
        <f>SUM(Table1[[#This Row],[yr 11_wl]:[yr 11_pf]])</f>
        <v>0</v>
      </c>
      <c r="BV157" s="25">
        <f>IF(Table1[[#This Row],[Years_Next_Rehab_Well]]=12,VLOOKUP(Table1[[#This Row],[Item_Rehab_WL]],[1]!Table2[#All],15,FALSE),0)</f>
        <v>0</v>
      </c>
      <c r="BW157" s="25">
        <f>IF(Table1[[#This Row],[Adjusted_ULife_HP]]=12,VLOOKUP(Table1[[#This Row],[Item_Handpump]],[1]!Table2[#All],15,FALSE),0)</f>
        <v>0</v>
      </c>
      <c r="BX157" s="25">
        <f>IF(Table1[[#This Row],[Adjusted_ULife_PF]]=12,VLOOKUP(Table1[[#This Row],[Item_Platform]],[1]!Table2[#All],15,FALSE),0)</f>
        <v>0</v>
      </c>
      <c r="BY157" s="25">
        <f>SUM(Table1[[#This Row],[yr 12_wl]:[yr 12_pf]])</f>
        <v>0</v>
      </c>
      <c r="BZ157" s="25">
        <f>IF(Table1[[#This Row],[Years_Next_Rehab_Well]]=13,VLOOKUP(Table1[[#This Row],[Item_Rehab_WL]],[1]!Table2[#All],16,FALSE),0)</f>
        <v>0</v>
      </c>
      <c r="CA157" s="25">
        <f>IF(Table1[[#This Row],[Adjusted_ULife_HP]]=13,VLOOKUP(Table1[[#This Row],[Item_Handpump]],[1]!Table2[#All],16,FALSE),0)</f>
        <v>0</v>
      </c>
      <c r="CB157" s="25">
        <f>IF(Table1[[#This Row],[Adjusted_ULife_PF]]=13,VLOOKUP(Table1[[#This Row],[Item_Platform]],[1]!Table2[#All],16,FALSE),0)</f>
        <v>0</v>
      </c>
      <c r="CC157" s="25">
        <f>SUM(Table1[[#This Row],[yr 13_wl]:[yr 13_pf]])</f>
        <v>0</v>
      </c>
      <c r="CD157" s="12"/>
    </row>
    <row r="158" spans="1:82" s="11" customFormat="1" x14ac:dyDescent="0.25">
      <c r="A158" s="11" t="str">
        <f>IF([1]Input_monitoring_data!A154="","",[1]Input_monitoring_data!A154)</f>
        <v>vaw6-q3hb-gjsf</v>
      </c>
      <c r="B158" s="22" t="str">
        <f>[1]Input_monitoring_data!BH154</f>
        <v>Goamu</v>
      </c>
      <c r="C158" s="22" t="str">
        <f>[1]Input_monitoring_data!BI154</f>
        <v>Asamang-Goamu</v>
      </c>
      <c r="D158" s="22" t="str">
        <f>[1]Input_monitoring_data!P154</f>
        <v>7.070687644459433</v>
      </c>
      <c r="E158" s="22" t="str">
        <f>[1]Input_monitoring_data!Q154</f>
        <v>-2.489236632598726</v>
      </c>
      <c r="F158" s="22" t="str">
        <f>[1]Input_monitoring_data!V154</f>
        <v>Close To Nana Kwaku Agen'sHouse.</v>
      </c>
      <c r="G158" s="23" t="str">
        <f>[1]Input_monitoring_data!U154</f>
        <v>Borehole</v>
      </c>
      <c r="H158" s="22">
        <f>[1]Input_monitoring_data!X154</f>
        <v>2012</v>
      </c>
      <c r="I158" s="21" t="str">
        <f>[1]Input_monitoring_data!AB154</f>
        <v>Borehole redevelopment</v>
      </c>
      <c r="J158" s="21">
        <f>[1]Input_monitoring_data!AC154</f>
        <v>0</v>
      </c>
      <c r="K158" s="23" t="str">
        <f>[1]Input_monitoring_data!W154</f>
        <v>AfriDev</v>
      </c>
      <c r="L158" s="22">
        <f>[1]Input_monitoring_data!X154</f>
        <v>2012</v>
      </c>
      <c r="M158" s="21">
        <f>IF([1]Input_monitoring_data!BL154&gt;'Point Sources_Asset_Register_'!L158,[1]Input_monitoring_data!BL154,"")</f>
        <v>2014</v>
      </c>
      <c r="N158" s="22" t="str">
        <f>[1]Input_monitoring_data!BQ154</f>
        <v>not functional</v>
      </c>
      <c r="O158" s="22">
        <f>[1]Input_monitoring_data!AJ154</f>
        <v>0</v>
      </c>
      <c r="P158" s="23" t="s">
        <v>0</v>
      </c>
      <c r="Q158" s="22">
        <f>L158</f>
        <v>2012</v>
      </c>
      <c r="R158" s="21">
        <f>M158</f>
        <v>2014</v>
      </c>
      <c r="S158" s="20">
        <f>[1]Input_EUL_CRC_ERC!$B$17-Table1[[#This Row],[Year Installed_WL]]</f>
        <v>5</v>
      </c>
      <c r="T158" s="20">
        <f>[1]Input_EUL_CRC_ERC!$B$17-(IF(Table1[[#This Row],[Year Last_Rehab_WL ]]=0,Table1[[#This Row],[Year Installed_WL]],[1]Input_EUL_CRC_ERC!$B$17-Table1[[#This Row],[Year Last_Rehab_WL ]]))</f>
        <v>5</v>
      </c>
      <c r="U158" s="20">
        <f>(VLOOKUP(Table1[[#This Row],[Item_Rehab_WL]],[1]Input_EUL_CRC_ERC!$C$17:$E$27,2,FALSE)-Table1[[#This Row],[Last Rehab Age]])</f>
        <v>10</v>
      </c>
      <c r="V158" s="19">
        <f>[1]Input_EUL_CRC_ERC!$B$17-Table1[[#This Row],[Year Installed_HP]]</f>
        <v>5</v>
      </c>
      <c r="W158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58" s="19">
        <f>[1]Input_EUL_CRC_ERC!$B$17-Table1[[#This Row],[Year Installed_PF]]</f>
        <v>5</v>
      </c>
      <c r="Y158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58" s="25">
        <f>IF(Table1[[#This Row],[Years_Next_Rehab_Well]]&lt;=0,VLOOKUP(Table1[[#This Row],[Item_Rehab_WL]],[1]!Table2[#All],3,FALSE),0)</f>
        <v>0</v>
      </c>
      <c r="AA158" s="18">
        <f>IF(Table1[[#This Row],[Adjusted_ULife_HP]]&lt;=0,VLOOKUP(Table1[[#This Row],[Item_Handpump]],[1]!Table2[#All],3,FALSE),0)</f>
        <v>0</v>
      </c>
      <c r="AB158" s="18">
        <f>IF(Table1[[#This Row],[Adjusted_ULife_PF]]&lt;=0,VLOOKUP(Table1[[#This Row],[Item_Platform]],[1]!Table2[#All],3,FALSE),0)</f>
        <v>0</v>
      </c>
      <c r="AC158" s="18">
        <f>SUM(Table1[[#This Row],[current yr_wl]:[current yr_pf]])</f>
        <v>0</v>
      </c>
      <c r="AD158" s="25">
        <f>IF(Table1[[#This Row],[Years_Next_Rehab_Well]]=1,VLOOKUP(Table1[[#This Row],[Item_Rehab_WL]],[1]!Table2[#All],4,FALSE),0)</f>
        <v>0</v>
      </c>
      <c r="AE158" s="25">
        <f>IF(Table1[[#This Row],[Adjusted_ULife_HP]]=1,VLOOKUP(Table1[[#This Row],[Item_Handpump]],[1]!Table2[#All],4,FALSE),0)</f>
        <v>0</v>
      </c>
      <c r="AF158" s="25">
        <f>IF(Table1[[#This Row],[Adjusted_ULife_PF]]=1,VLOOKUP(Table1[[#This Row],[Item_Platform]],[1]!Table2[#All],4,FALSE),0)</f>
        <v>0</v>
      </c>
      <c r="AG158" s="25">
        <f>SUM(Table1[[#This Row],[yr 1_wl]:[yr 1_pf]])</f>
        <v>0</v>
      </c>
      <c r="AH158" s="25">
        <f>IF(Table1[[#This Row],[Years_Next_Rehab_Well]]=2,VLOOKUP(Table1[[#This Row],[Item_Rehab_WL]],[1]!Table2[#All],5,FALSE),0)</f>
        <v>0</v>
      </c>
      <c r="AI158" s="25">
        <f>IF(Table1[[#This Row],[Adjusted_ULife_HP]]=2,VLOOKUP(Table1[[#This Row],[Item_Handpump]],[1]!Table2[#All],5,FALSE),0)</f>
        <v>0</v>
      </c>
      <c r="AJ158" s="25">
        <f>IF(Table1[[#This Row],[Adjusted_ULife_PF]]=2,VLOOKUP(Table1[[#This Row],[Item_Platform]],[1]!Table2[#All],5,FALSE),0)</f>
        <v>0</v>
      </c>
      <c r="AK158" s="25">
        <f>SUM(Table1[[#This Row],[yr 2_wl]:[yr 2_pf]])</f>
        <v>0</v>
      </c>
      <c r="AL158" s="25">
        <f>IF(Table1[[#This Row],[Years_Next_Rehab_Well]]=3,VLOOKUP(Table1[[#This Row],[Item_Rehab_WL]],[1]!Table2[#All],6,FALSE),0)</f>
        <v>0</v>
      </c>
      <c r="AM158" s="25">
        <f>IF(Table1[[#This Row],[Adjusted_ULife_HP]]=3,VLOOKUP(Table1[[#This Row],[Item_Handpump]],[1]!Table2[#All],6,FALSE),0)</f>
        <v>0</v>
      </c>
      <c r="AN158" s="25">
        <f>IF(Table1[[#This Row],[Adjusted_ULife_PF]]=3,VLOOKUP(Table1[[#This Row],[Item_Platform]],[1]!Table2[#All],6,FALSE),0)</f>
        <v>0</v>
      </c>
      <c r="AO158" s="25">
        <f>SUM(Table1[[#This Row],[yr 3_wl]:[yr 3_pf]])</f>
        <v>0</v>
      </c>
      <c r="AP158" s="25">
        <f>IF(Table1[[#This Row],[Years_Next_Rehab_Well]]=4,VLOOKUP(Table1[[#This Row],[Item_Rehab_WL]],[1]!Table2[#All],7,FALSE),0)</f>
        <v>0</v>
      </c>
      <c r="AQ158" s="25">
        <f>IF(Table1[[#This Row],[Adjusted_ULife_HP]]=4,VLOOKUP(Table1[[#This Row],[Item_Handpump]],[1]!Table2[#All],7,FALSE),0)</f>
        <v>0</v>
      </c>
      <c r="AR158" s="25">
        <f>IF(Table1[[#This Row],[Adjusted_ULife_PF]]=4,VLOOKUP(Table1[[#This Row],[Item_Platform]],[1]!Table2[#All],7,FALSE),0)</f>
        <v>0</v>
      </c>
      <c r="AS158" s="25">
        <f>SUM(Table1[[#This Row],[yr 4_wl]:[yr 4_pf]])</f>
        <v>0</v>
      </c>
      <c r="AT158" s="25">
        <f>IF(Table1[[#This Row],[Years_Next_Rehab_Well]]=5,VLOOKUP(Table1[[#This Row],[Item_Rehab_WL]],[1]!Table2[#All],8,FALSE),0)</f>
        <v>0</v>
      </c>
      <c r="AU158" s="25">
        <f>IF(Table1[[#This Row],[Adjusted_ULife_HP]]=5,VLOOKUP(Table1[[#This Row],[Item_Handpump]],[1]!Table2[#All],8,FALSE),0)</f>
        <v>0</v>
      </c>
      <c r="AV158" s="25">
        <f>IF(Table1[[#This Row],[Adjusted_ULife_PF]]=5,VLOOKUP(Table1[[#This Row],[Item_Platform]],[1]!Table2[#All],8,FALSE),0)</f>
        <v>0</v>
      </c>
      <c r="AW158" s="25">
        <f>SUM(Table1[[#This Row],[yr 5_wl]:[yr 5_pf]])</f>
        <v>0</v>
      </c>
      <c r="AX158" s="25">
        <f>IF(Table1[[#This Row],[Years_Next_Rehab_Well]]=6,VLOOKUP(Table1[[#This Row],[Item_Rehab_WL]],[1]!Table2[#All],9,FALSE),0)</f>
        <v>0</v>
      </c>
      <c r="AY158" s="25">
        <f>IF(Table1[[#This Row],[Adjusted_ULife_HP]]=6,VLOOKUP(Table1[[#This Row],[Item_Handpump]],[1]!Table2[#All],9,FALSE),0)</f>
        <v>0</v>
      </c>
      <c r="AZ158" s="25">
        <f>IF(Table1[[#This Row],[Adjusted_ULife_PF]]=6,VLOOKUP(Table1[[#This Row],[Item_Platform]],[1]!Table2[#All],9,FALSE),0)</f>
        <v>0</v>
      </c>
      <c r="BA158" s="25">
        <f>SUM(Table1[[#This Row],[yr 6_wl]:[yr 6_pf]])</f>
        <v>0</v>
      </c>
      <c r="BB158" s="25">
        <f>IF(Table1[[#This Row],[Years_Next_Rehab_Well]]=7,VLOOKUP(Table1[[#This Row],[Item_Rehab_WL]],[1]!Table2[#All],10,FALSE),0)</f>
        <v>0</v>
      </c>
      <c r="BC158" s="25">
        <f>IF(Table1[[#This Row],[Adjusted_ULife_HP]]=7,VLOOKUP(Table1[[#This Row],[Item_Handpump]],[1]!Table2[#All],10,FALSE),0)</f>
        <v>0</v>
      </c>
      <c r="BD158" s="25">
        <f>IF(Table1[[#This Row],[Adjusted_ULife_PF]]=7,VLOOKUP(Table1[[#This Row],[Item_Platform]],[1]!Table2[#All],10,FALSE),0)</f>
        <v>3316.0221111091228</v>
      </c>
      <c r="BE158" s="25">
        <f>SUM(Table1[[#This Row],[yr 7_wl]:[yr 7_pf]])</f>
        <v>3316.0221111091228</v>
      </c>
      <c r="BF158" s="25">
        <f>IF(Table1[[#This Row],[Years_Next_Rehab_Well]]=8,VLOOKUP(Table1[[#This Row],[Item_Rehab_WL]],[1]!Table2[#All],11,FALSE),0)</f>
        <v>0</v>
      </c>
      <c r="BG158" s="25">
        <f>IF(Table1[[#This Row],[Adjusted_ULife_HP]]=8,VLOOKUP(Table1[[#This Row],[Item_Handpump]],[1]!Table2[#All],11,FALSE),0)</f>
        <v>0</v>
      </c>
      <c r="BH158" s="25">
        <f>IF(Table1[[#This Row],[Adjusted_ULife_PF]]=8,VLOOKUP(Table1[[#This Row],[Item_Platform]],[1]!Table2[#All],11,FALSE),0)</f>
        <v>0</v>
      </c>
      <c r="BI158" s="25">
        <f>SUM(Table1[[#This Row],[yr 8_wl]:[yr 8_pf]])</f>
        <v>0</v>
      </c>
      <c r="BJ158" s="25">
        <f>IF(Table1[[#This Row],[Years_Next_Rehab_Well]]=9,VLOOKUP(Table1[[#This Row],[Item_Rehab_WL]],[1]!Table2[#All],12,FALSE),0)</f>
        <v>0</v>
      </c>
      <c r="BK158" s="25">
        <f>IF(Table1[[#This Row],[Adjusted_ULife_HP]]=9,VLOOKUP(Table1[[#This Row],[Item_Handpump]],[1]!Table2[#All],12,FALSE),0)</f>
        <v>0</v>
      </c>
      <c r="BL158" s="25">
        <f>IF(Table1[[#This Row],[Adjusted_ULife_PF]]=9,VLOOKUP(Table1[[#This Row],[Item_Platform]],[1]!Table2[#All],12,FALSE),0)</f>
        <v>0</v>
      </c>
      <c r="BM158" s="25">
        <f>SUM(Table1[[#This Row],[yr 9_wl]:[yr 9_pf]])</f>
        <v>0</v>
      </c>
      <c r="BN158" s="25">
        <f>IF(Table1[[#This Row],[Years_Next_Rehab_Well]]=10,VLOOKUP(Table1[[#This Row],[Item_Rehab_WL]],[1]!Table2[#All],13,FALSE),0)</f>
        <v>11388.110097262112</v>
      </c>
      <c r="BO158" s="25">
        <f>IF(Table1[[#This Row],[Adjusted_ULife_HP]]=10,VLOOKUP(Table1[[#This Row],[Item_Handpump]],[1]!Table2[#All],13,FALSE),0)</f>
        <v>0</v>
      </c>
      <c r="BP158" s="25">
        <f>IF(Table1[[#This Row],[Adjusted_ULife_PF]]=10,VLOOKUP(Table1[[#This Row],[Item_Platform]],[1]!Table2[#All],13,FALSE),0)</f>
        <v>0</v>
      </c>
      <c r="BQ158" s="25">
        <f>SUM(Table1[[#This Row],[yr 10_wl]:[yr 10_pf]])</f>
        <v>11388.110097262112</v>
      </c>
      <c r="BR158" s="25">
        <f>IF(Table1[[#This Row],[Years_Next_Rehab_Well]]=11,VLOOKUP(Table1[[#This Row],[Item_Rehab_WL]],[1]!Table2[#All],14,FALSE),0)</f>
        <v>0</v>
      </c>
      <c r="BS158" s="25">
        <f>IF(Table1[[#This Row],[Adjusted_ULife_HP]]=11,VLOOKUP(Table1[[#This Row],[Item_Handpump]],[1]!Table2[#All],14,FALSE),0)</f>
        <v>0</v>
      </c>
      <c r="BT158" s="25">
        <f>IF(Table1[[#This Row],[Adjusted_ULife_PF]]=11,VLOOKUP(Table1[[#This Row],[Item_Platform]],[1]!Table2[#All],14,FALSE),0)</f>
        <v>0</v>
      </c>
      <c r="BU158" s="25">
        <f>SUM(Table1[[#This Row],[yr 11_wl]:[yr 11_pf]])</f>
        <v>0</v>
      </c>
      <c r="BV158" s="25">
        <f>IF(Table1[[#This Row],[Years_Next_Rehab_Well]]=12,VLOOKUP(Table1[[#This Row],[Item_Rehab_WL]],[1]!Table2[#All],15,FALSE),0)</f>
        <v>0</v>
      </c>
      <c r="BW158" s="25">
        <f>IF(Table1[[#This Row],[Adjusted_ULife_HP]]=12,VLOOKUP(Table1[[#This Row],[Item_Handpump]],[1]!Table2[#All],15,FALSE),0)</f>
        <v>0</v>
      </c>
      <c r="BX158" s="25">
        <f>IF(Table1[[#This Row],[Adjusted_ULife_PF]]=12,VLOOKUP(Table1[[#This Row],[Item_Platform]],[1]!Table2[#All],15,FALSE),0)</f>
        <v>0</v>
      </c>
      <c r="BY158" s="25">
        <f>SUM(Table1[[#This Row],[yr 12_wl]:[yr 12_pf]])</f>
        <v>0</v>
      </c>
      <c r="BZ158" s="25">
        <f>IF(Table1[[#This Row],[Years_Next_Rehab_Well]]=13,VLOOKUP(Table1[[#This Row],[Item_Rehab_WL]],[1]!Table2[#All],16,FALSE),0)</f>
        <v>0</v>
      </c>
      <c r="CA158" s="25">
        <f>IF(Table1[[#This Row],[Adjusted_ULife_HP]]=13,VLOOKUP(Table1[[#This Row],[Item_Handpump]],[1]!Table2[#All],16,FALSE),0)</f>
        <v>0</v>
      </c>
      <c r="CB158" s="25">
        <f>IF(Table1[[#This Row],[Adjusted_ULife_PF]]=13,VLOOKUP(Table1[[#This Row],[Item_Platform]],[1]!Table2[#All],16,FALSE),0)</f>
        <v>0</v>
      </c>
      <c r="CC158" s="25">
        <f>SUM(Table1[[#This Row],[yr 13_wl]:[yr 13_pf]])</f>
        <v>0</v>
      </c>
      <c r="CD158" s="12"/>
    </row>
    <row r="159" spans="1:82" s="11" customFormat="1" x14ac:dyDescent="0.25">
      <c r="A159" s="11" t="str">
        <f>IF([1]Input_monitoring_data!A155="","",[1]Input_monitoring_data!A155)</f>
        <v>vbr2-6qqn-52ry</v>
      </c>
      <c r="B159" s="22" t="str">
        <f>[1]Input_monitoring_data!BH155</f>
        <v>Gambia</v>
      </c>
      <c r="C159" s="22" t="str">
        <f>[1]Input_monitoring_data!BI155</f>
        <v>Biaso Kasapin</v>
      </c>
      <c r="D159" s="22" t="str">
        <f>[1]Input_monitoring_data!P155</f>
        <v>7.077508145846655</v>
      </c>
      <c r="E159" s="22" t="str">
        <f>[1]Input_monitoring_data!Q155</f>
        <v>-2.7465499183615063</v>
      </c>
      <c r="F159" s="22" t="str">
        <f>[1]Input_monitoring_data!V155</f>
        <v>Near The Ordikrus House</v>
      </c>
      <c r="G159" s="23" t="str">
        <f>[1]Input_monitoring_data!U155</f>
        <v>Borehole</v>
      </c>
      <c r="H159" s="22">
        <f>[1]Input_monitoring_data!X155</f>
        <v>2003</v>
      </c>
      <c r="I159" s="21" t="str">
        <f>[1]Input_monitoring_data!AB155</f>
        <v>Borehole redevelopment</v>
      </c>
      <c r="J159" s="21">
        <f>[1]Input_monitoring_data!AC155</f>
        <v>0</v>
      </c>
      <c r="K159" s="23" t="str">
        <f>[1]Input_monitoring_data!W155</f>
        <v>AfriDev</v>
      </c>
      <c r="L159" s="22">
        <f>[1]Input_monitoring_data!X155</f>
        <v>2003</v>
      </c>
      <c r="M159" s="21">
        <f>IF([1]Input_monitoring_data!BL155&gt;'Point Sources_Asset_Register_'!L159,[1]Input_monitoring_data!BL155,"")</f>
        <v>2005</v>
      </c>
      <c r="N159" s="22" t="str">
        <f>[1]Input_monitoring_data!BQ155</f>
        <v>functional</v>
      </c>
      <c r="O159" s="22">
        <f>[1]Input_monitoring_data!AJ155</f>
        <v>0</v>
      </c>
      <c r="P159" s="23" t="s">
        <v>0</v>
      </c>
      <c r="Q159" s="22">
        <f>L159</f>
        <v>2003</v>
      </c>
      <c r="R159" s="21">
        <f>M159</f>
        <v>2005</v>
      </c>
      <c r="S159" s="20">
        <f>[1]Input_EUL_CRC_ERC!$B$17-Table1[[#This Row],[Year Installed_WL]]</f>
        <v>14</v>
      </c>
      <c r="T159" s="20">
        <f>[1]Input_EUL_CRC_ERC!$B$17-(IF(Table1[[#This Row],[Year Last_Rehab_WL ]]=0,Table1[[#This Row],[Year Installed_WL]],[1]Input_EUL_CRC_ERC!$B$17-Table1[[#This Row],[Year Last_Rehab_WL ]]))</f>
        <v>14</v>
      </c>
      <c r="U159" s="20">
        <f>(VLOOKUP(Table1[[#This Row],[Item_Rehab_WL]],[1]Input_EUL_CRC_ERC!$C$17:$E$27,2,FALSE)-Table1[[#This Row],[Last Rehab Age]])</f>
        <v>1</v>
      </c>
      <c r="V159" s="19">
        <f>[1]Input_EUL_CRC_ERC!$B$17-Table1[[#This Row],[Year Installed_HP]]</f>
        <v>14</v>
      </c>
      <c r="W159" s="19">
        <f>(VLOOKUP(Table1[[#This Row],[Item_Handpump]],[1]!Table2[#All],2,FALSE))-(IF(Table1[[#This Row],[Year Last_Rehab_HP]]="",Table1[[#This Row],[Current Age_Handpump]],[1]Input_EUL_CRC_ERC!$B$17-Table1[[#This Row],[Year Last_Rehab_HP]]))</f>
        <v>8</v>
      </c>
      <c r="X159" s="19">
        <f>[1]Input_EUL_CRC_ERC!$B$17-Table1[[#This Row],[Year Installed_PF]]</f>
        <v>14</v>
      </c>
      <c r="Y159" s="19">
        <f>(VLOOKUP(Table1[[#This Row],[Item_Platform]],[1]!Table2[#All],2,FALSE))-(IF(Table1[[#This Row],[Year Last_Rehab_PF]]="",Table1[[#This Row],[Current Age_Platform]],[1]Input_EUL_CRC_ERC!$B$17-Table1[[#This Row],[Year Last_Rehab_PF]]))</f>
        <v>-2</v>
      </c>
      <c r="Z159" s="25">
        <f>IF(Table1[[#This Row],[Years_Next_Rehab_Well]]&lt;=0,VLOOKUP(Table1[[#This Row],[Item_Rehab_WL]],[1]!Table2[#All],3,FALSE),0)</f>
        <v>0</v>
      </c>
      <c r="AA159" s="18">
        <f>IF(Table1[[#This Row],[Adjusted_ULife_HP]]&lt;=0,VLOOKUP(Table1[[#This Row],[Item_Handpump]],[1]!Table2[#All],3,FALSE),0)</f>
        <v>0</v>
      </c>
      <c r="AB159" s="18">
        <f>IF(Table1[[#This Row],[Adjusted_ULife_PF]]&lt;=0,VLOOKUP(Table1[[#This Row],[Item_Platform]],[1]!Table2[#All],3,FALSE),0)</f>
        <v>1500</v>
      </c>
      <c r="AC159" s="18">
        <f>SUM(Table1[[#This Row],[current yr_wl]:[current yr_pf]])</f>
        <v>1500</v>
      </c>
      <c r="AD159" s="25">
        <f>IF(Table1[[#This Row],[Years_Next_Rehab_Well]]=1,VLOOKUP(Table1[[#This Row],[Item_Rehab_WL]],[1]!Table2[#All],4,FALSE),0)</f>
        <v>4106.666666666667</v>
      </c>
      <c r="AE159" s="25">
        <f>IF(Table1[[#This Row],[Adjusted_ULife_HP]]=1,VLOOKUP(Table1[[#This Row],[Item_Handpump]],[1]!Table2[#All],4,FALSE),0)</f>
        <v>0</v>
      </c>
      <c r="AF159" s="25">
        <f>IF(Table1[[#This Row],[Adjusted_ULife_PF]]=1,VLOOKUP(Table1[[#This Row],[Item_Platform]],[1]!Table2[#All],4,FALSE),0)</f>
        <v>0</v>
      </c>
      <c r="AG159" s="25">
        <f>SUM(Table1[[#This Row],[yr 1_wl]:[yr 1_pf]])</f>
        <v>4106.666666666667</v>
      </c>
      <c r="AH159" s="25">
        <f>IF(Table1[[#This Row],[Years_Next_Rehab_Well]]=2,VLOOKUP(Table1[[#This Row],[Item_Rehab_WL]],[1]!Table2[#All],5,FALSE),0)</f>
        <v>0</v>
      </c>
      <c r="AI159" s="25">
        <f>IF(Table1[[#This Row],[Adjusted_ULife_HP]]=2,VLOOKUP(Table1[[#This Row],[Item_Handpump]],[1]!Table2[#All],5,FALSE),0)</f>
        <v>0</v>
      </c>
      <c r="AJ159" s="25">
        <f>IF(Table1[[#This Row],[Adjusted_ULife_PF]]=2,VLOOKUP(Table1[[#This Row],[Item_Platform]],[1]!Table2[#All],5,FALSE),0)</f>
        <v>0</v>
      </c>
      <c r="AK159" s="25">
        <f>SUM(Table1[[#This Row],[yr 2_wl]:[yr 2_pf]])</f>
        <v>0</v>
      </c>
      <c r="AL159" s="25">
        <f>IF(Table1[[#This Row],[Years_Next_Rehab_Well]]=3,VLOOKUP(Table1[[#This Row],[Item_Rehab_WL]],[1]!Table2[#All],6,FALSE),0)</f>
        <v>0</v>
      </c>
      <c r="AM159" s="25">
        <f>IF(Table1[[#This Row],[Adjusted_ULife_HP]]=3,VLOOKUP(Table1[[#This Row],[Item_Handpump]],[1]!Table2[#All],6,FALSE),0)</f>
        <v>0</v>
      </c>
      <c r="AN159" s="25">
        <f>IF(Table1[[#This Row],[Adjusted_ULife_PF]]=3,VLOOKUP(Table1[[#This Row],[Item_Platform]],[1]!Table2[#All],6,FALSE),0)</f>
        <v>0</v>
      </c>
      <c r="AO159" s="25">
        <f>SUM(Table1[[#This Row],[yr 3_wl]:[yr 3_pf]])</f>
        <v>0</v>
      </c>
      <c r="AP159" s="25">
        <f>IF(Table1[[#This Row],[Years_Next_Rehab_Well]]=4,VLOOKUP(Table1[[#This Row],[Item_Rehab_WL]],[1]!Table2[#All],7,FALSE),0)</f>
        <v>0</v>
      </c>
      <c r="AQ159" s="25">
        <f>IF(Table1[[#This Row],[Adjusted_ULife_HP]]=4,VLOOKUP(Table1[[#This Row],[Item_Handpump]],[1]!Table2[#All],7,FALSE),0)</f>
        <v>0</v>
      </c>
      <c r="AR159" s="25">
        <f>IF(Table1[[#This Row],[Adjusted_ULife_PF]]=4,VLOOKUP(Table1[[#This Row],[Item_Platform]],[1]!Table2[#All],7,FALSE),0)</f>
        <v>0</v>
      </c>
      <c r="AS159" s="25">
        <f>SUM(Table1[[#This Row],[yr 4_wl]:[yr 4_pf]])</f>
        <v>0</v>
      </c>
      <c r="AT159" s="25">
        <f>IF(Table1[[#This Row],[Years_Next_Rehab_Well]]=5,VLOOKUP(Table1[[#This Row],[Item_Rehab_WL]],[1]!Table2[#All],8,FALSE),0)</f>
        <v>0</v>
      </c>
      <c r="AU159" s="25">
        <f>IF(Table1[[#This Row],[Adjusted_ULife_HP]]=5,VLOOKUP(Table1[[#This Row],[Item_Handpump]],[1]!Table2[#All],8,FALSE),0)</f>
        <v>0</v>
      </c>
      <c r="AV159" s="25">
        <f>IF(Table1[[#This Row],[Adjusted_ULife_PF]]=5,VLOOKUP(Table1[[#This Row],[Item_Platform]],[1]!Table2[#All],8,FALSE),0)</f>
        <v>0</v>
      </c>
      <c r="AW159" s="25">
        <f>SUM(Table1[[#This Row],[yr 5_wl]:[yr 5_pf]])</f>
        <v>0</v>
      </c>
      <c r="AX159" s="25">
        <f>IF(Table1[[#This Row],[Years_Next_Rehab_Well]]=6,VLOOKUP(Table1[[#This Row],[Item_Rehab_WL]],[1]!Table2[#All],9,FALSE),0)</f>
        <v>0</v>
      </c>
      <c r="AY159" s="25">
        <f>IF(Table1[[#This Row],[Adjusted_ULife_HP]]=6,VLOOKUP(Table1[[#This Row],[Item_Handpump]],[1]!Table2[#All],9,FALSE),0)</f>
        <v>0</v>
      </c>
      <c r="AZ159" s="25">
        <f>IF(Table1[[#This Row],[Adjusted_ULife_PF]]=6,VLOOKUP(Table1[[#This Row],[Item_Platform]],[1]!Table2[#All],9,FALSE),0)</f>
        <v>0</v>
      </c>
      <c r="BA159" s="25">
        <f>SUM(Table1[[#This Row],[yr 6_wl]:[yr 6_pf]])</f>
        <v>0</v>
      </c>
      <c r="BB159" s="25">
        <f>IF(Table1[[#This Row],[Years_Next_Rehab_Well]]=7,VLOOKUP(Table1[[#This Row],[Item_Rehab_WL]],[1]!Table2[#All],10,FALSE),0)</f>
        <v>0</v>
      </c>
      <c r="BC159" s="25">
        <f>IF(Table1[[#This Row],[Adjusted_ULife_HP]]=7,VLOOKUP(Table1[[#This Row],[Item_Handpump]],[1]!Table2[#All],10,FALSE),0)</f>
        <v>0</v>
      </c>
      <c r="BD159" s="25">
        <f>IF(Table1[[#This Row],[Adjusted_ULife_PF]]=7,VLOOKUP(Table1[[#This Row],[Item_Platform]],[1]!Table2[#All],10,FALSE),0)</f>
        <v>0</v>
      </c>
      <c r="BE159" s="25">
        <f>SUM(Table1[[#This Row],[yr 7_wl]:[yr 7_pf]])</f>
        <v>0</v>
      </c>
      <c r="BF159" s="25">
        <f>IF(Table1[[#This Row],[Years_Next_Rehab_Well]]=8,VLOOKUP(Table1[[#This Row],[Item_Rehab_WL]],[1]!Table2[#All],11,FALSE),0)</f>
        <v>0</v>
      </c>
      <c r="BG159" s="25">
        <f>IF(Table1[[#This Row],[Adjusted_ULife_HP]]=8,VLOOKUP(Table1[[#This Row],[Item_Handpump]],[1]!Table2[#All],11,FALSE),0)</f>
        <v>990.38527051792437</v>
      </c>
      <c r="BH159" s="25">
        <f>IF(Table1[[#This Row],[Adjusted_ULife_PF]]=8,VLOOKUP(Table1[[#This Row],[Item_Platform]],[1]!Table2[#All],11,FALSE),0)</f>
        <v>0</v>
      </c>
      <c r="BI159" s="25">
        <f>SUM(Table1[[#This Row],[yr 8_wl]:[yr 8_pf]])</f>
        <v>990.38527051792437</v>
      </c>
      <c r="BJ159" s="25">
        <f>IF(Table1[[#This Row],[Years_Next_Rehab_Well]]=9,VLOOKUP(Table1[[#This Row],[Item_Rehab_WL]],[1]!Table2[#All],12,FALSE),0)</f>
        <v>0</v>
      </c>
      <c r="BK159" s="25">
        <f>IF(Table1[[#This Row],[Adjusted_ULife_HP]]=9,VLOOKUP(Table1[[#This Row],[Item_Handpump]],[1]!Table2[#All],12,FALSE),0)</f>
        <v>0</v>
      </c>
      <c r="BL159" s="25">
        <f>IF(Table1[[#This Row],[Adjusted_ULife_PF]]=9,VLOOKUP(Table1[[#This Row],[Item_Platform]],[1]!Table2[#All],12,FALSE),0)</f>
        <v>0</v>
      </c>
      <c r="BM159" s="25">
        <f>SUM(Table1[[#This Row],[yr 9_wl]:[yr 9_pf]])</f>
        <v>0</v>
      </c>
      <c r="BN159" s="25">
        <f>IF(Table1[[#This Row],[Years_Next_Rehab_Well]]=10,VLOOKUP(Table1[[#This Row],[Item_Rehab_WL]],[1]!Table2[#All],13,FALSE),0)</f>
        <v>0</v>
      </c>
      <c r="BO159" s="25">
        <f>IF(Table1[[#This Row],[Adjusted_ULife_HP]]=10,VLOOKUP(Table1[[#This Row],[Item_Handpump]],[1]!Table2[#All],13,FALSE),0)</f>
        <v>0</v>
      </c>
      <c r="BP159" s="25">
        <f>IF(Table1[[#This Row],[Adjusted_ULife_PF]]=10,VLOOKUP(Table1[[#This Row],[Item_Platform]],[1]!Table2[#All],13,FALSE),0)</f>
        <v>0</v>
      </c>
      <c r="BQ159" s="25">
        <f>SUM(Table1[[#This Row],[yr 10_wl]:[yr 10_pf]])</f>
        <v>0</v>
      </c>
      <c r="BR159" s="25">
        <f>IF(Table1[[#This Row],[Years_Next_Rehab_Well]]=11,VLOOKUP(Table1[[#This Row],[Item_Rehab_WL]],[1]!Table2[#All],14,FALSE),0)</f>
        <v>0</v>
      </c>
      <c r="BS159" s="25">
        <f>IF(Table1[[#This Row],[Adjusted_ULife_HP]]=11,VLOOKUP(Table1[[#This Row],[Item_Handpump]],[1]!Table2[#All],14,FALSE),0)</f>
        <v>0</v>
      </c>
      <c r="BT159" s="25">
        <f>IF(Table1[[#This Row],[Adjusted_ULife_PF]]=11,VLOOKUP(Table1[[#This Row],[Item_Platform]],[1]!Table2[#All],14,FALSE),0)</f>
        <v>0</v>
      </c>
      <c r="BU159" s="25">
        <f>SUM(Table1[[#This Row],[yr 11_wl]:[yr 11_pf]])</f>
        <v>0</v>
      </c>
      <c r="BV159" s="25">
        <f>IF(Table1[[#This Row],[Years_Next_Rehab_Well]]=12,VLOOKUP(Table1[[#This Row],[Item_Rehab_WL]],[1]!Table2[#All],15,FALSE),0)</f>
        <v>0</v>
      </c>
      <c r="BW159" s="25">
        <f>IF(Table1[[#This Row],[Adjusted_ULife_HP]]=12,VLOOKUP(Table1[[#This Row],[Item_Handpump]],[1]!Table2[#All],15,FALSE),0)</f>
        <v>0</v>
      </c>
      <c r="BX159" s="25">
        <f>IF(Table1[[#This Row],[Adjusted_ULife_PF]]=12,VLOOKUP(Table1[[#This Row],[Item_Platform]],[1]!Table2[#All],15,FALSE),0)</f>
        <v>0</v>
      </c>
      <c r="BY159" s="25">
        <f>SUM(Table1[[#This Row],[yr 12_wl]:[yr 12_pf]])</f>
        <v>0</v>
      </c>
      <c r="BZ159" s="25">
        <f>IF(Table1[[#This Row],[Years_Next_Rehab_Well]]=13,VLOOKUP(Table1[[#This Row],[Item_Rehab_WL]],[1]!Table2[#All],16,FALSE),0)</f>
        <v>0</v>
      </c>
      <c r="CA159" s="25">
        <f>IF(Table1[[#This Row],[Adjusted_ULife_HP]]=13,VLOOKUP(Table1[[#This Row],[Item_Handpump]],[1]!Table2[#All],16,FALSE),0)</f>
        <v>0</v>
      </c>
      <c r="CB159" s="25">
        <f>IF(Table1[[#This Row],[Adjusted_ULife_PF]]=13,VLOOKUP(Table1[[#This Row],[Item_Platform]],[1]!Table2[#All],16,FALSE),0)</f>
        <v>0</v>
      </c>
      <c r="CC159" s="25">
        <f>SUM(Table1[[#This Row],[yr 13_wl]:[yr 13_pf]])</f>
        <v>0</v>
      </c>
      <c r="CD159" s="12"/>
    </row>
    <row r="160" spans="1:82" s="11" customFormat="1" x14ac:dyDescent="0.25">
      <c r="A160" s="11" t="str">
        <f>IF([1]Input_monitoring_data!A156="","",[1]Input_monitoring_data!A156)</f>
        <v>vf6n-6ypr-b41u</v>
      </c>
      <c r="B160" s="22" t="str">
        <f>[1]Input_monitoring_data!BH156</f>
        <v>KENYASI NO.2</v>
      </c>
      <c r="C160" s="22" t="str">
        <f>[1]Input_monitoring_data!BI156</f>
        <v>KENYASI NO.2</v>
      </c>
      <c r="D160" s="22" t="str">
        <f>[1]Input_monitoring_data!P156</f>
        <v>6.9858580240903585</v>
      </c>
      <c r="E160" s="22" t="str">
        <f>[1]Input_monitoring_data!Q156</f>
        <v>-2.390425455889815</v>
      </c>
      <c r="F160" s="22" t="str">
        <f>[1]Input_monitoring_data!V156</f>
        <v>near Adowa nsoah bakery...Jerrcho</v>
      </c>
      <c r="G160" s="23" t="str">
        <f>[1]Input_monitoring_data!U156</f>
        <v>Borehole</v>
      </c>
      <c r="H160" s="22">
        <f>[1]Input_monitoring_data!X156</f>
        <v>2011</v>
      </c>
      <c r="I160" s="21" t="str">
        <f>[1]Input_monitoring_data!AB156</f>
        <v>Borehole redevelopment</v>
      </c>
      <c r="J160" s="21">
        <f>[1]Input_monitoring_data!AC156</f>
        <v>0</v>
      </c>
      <c r="K160" s="23" t="str">
        <f>[1]Input_monitoring_data!W156</f>
        <v>AfriDev</v>
      </c>
      <c r="L160" s="22">
        <f>[1]Input_monitoring_data!X156</f>
        <v>2011</v>
      </c>
      <c r="M160" s="21">
        <f>IF([1]Input_monitoring_data!BL156&gt;'Point Sources_Asset_Register_'!L160,[1]Input_monitoring_data!BL156,"")</f>
        <v>2016</v>
      </c>
      <c r="N160" s="22" t="str">
        <f>[1]Input_monitoring_data!BQ156</f>
        <v>functional</v>
      </c>
      <c r="O160" s="22">
        <f>[1]Input_monitoring_data!AJ156</f>
        <v>0</v>
      </c>
      <c r="P160" s="23" t="s">
        <v>0</v>
      </c>
      <c r="Q160" s="22">
        <f>L160</f>
        <v>2011</v>
      </c>
      <c r="R160" s="21">
        <f>M160</f>
        <v>2016</v>
      </c>
      <c r="S160" s="20">
        <f>[1]Input_EUL_CRC_ERC!$B$17-Table1[[#This Row],[Year Installed_WL]]</f>
        <v>6</v>
      </c>
      <c r="T160" s="20">
        <f>[1]Input_EUL_CRC_ERC!$B$17-(IF(Table1[[#This Row],[Year Last_Rehab_WL ]]=0,Table1[[#This Row],[Year Installed_WL]],[1]Input_EUL_CRC_ERC!$B$17-Table1[[#This Row],[Year Last_Rehab_WL ]]))</f>
        <v>6</v>
      </c>
      <c r="U160" s="20">
        <f>(VLOOKUP(Table1[[#This Row],[Item_Rehab_WL]],[1]Input_EUL_CRC_ERC!$C$17:$E$27,2,FALSE)-Table1[[#This Row],[Last Rehab Age]])</f>
        <v>9</v>
      </c>
      <c r="V160" s="19">
        <f>[1]Input_EUL_CRC_ERC!$B$17-Table1[[#This Row],[Year Installed_HP]]</f>
        <v>6</v>
      </c>
      <c r="W160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60" s="19">
        <f>[1]Input_EUL_CRC_ERC!$B$17-Table1[[#This Row],[Year Installed_PF]]</f>
        <v>6</v>
      </c>
      <c r="Y160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60" s="25">
        <f>IF(Table1[[#This Row],[Years_Next_Rehab_Well]]&lt;=0,VLOOKUP(Table1[[#This Row],[Item_Rehab_WL]],[1]!Table2[#All],3,FALSE),0)</f>
        <v>0</v>
      </c>
      <c r="AA160" s="18">
        <f>IF(Table1[[#This Row],[Adjusted_ULife_HP]]&lt;=0,VLOOKUP(Table1[[#This Row],[Item_Handpump]],[1]!Table2[#All],3,FALSE),0)</f>
        <v>0</v>
      </c>
      <c r="AB160" s="18">
        <f>IF(Table1[[#This Row],[Adjusted_ULife_PF]]&lt;=0,VLOOKUP(Table1[[#This Row],[Item_Platform]],[1]!Table2[#All],3,FALSE),0)</f>
        <v>0</v>
      </c>
      <c r="AC160" s="18">
        <f>SUM(Table1[[#This Row],[current yr_wl]:[current yr_pf]])</f>
        <v>0</v>
      </c>
      <c r="AD160" s="25">
        <f>IF(Table1[[#This Row],[Years_Next_Rehab_Well]]=1,VLOOKUP(Table1[[#This Row],[Item_Rehab_WL]],[1]!Table2[#All],4,FALSE),0)</f>
        <v>0</v>
      </c>
      <c r="AE160" s="25">
        <f>IF(Table1[[#This Row],[Adjusted_ULife_HP]]=1,VLOOKUP(Table1[[#This Row],[Item_Handpump]],[1]!Table2[#All],4,FALSE),0)</f>
        <v>0</v>
      </c>
      <c r="AF160" s="25">
        <f>IF(Table1[[#This Row],[Adjusted_ULife_PF]]=1,VLOOKUP(Table1[[#This Row],[Item_Platform]],[1]!Table2[#All],4,FALSE),0)</f>
        <v>0</v>
      </c>
      <c r="AG160" s="25">
        <f>SUM(Table1[[#This Row],[yr 1_wl]:[yr 1_pf]])</f>
        <v>0</v>
      </c>
      <c r="AH160" s="25">
        <f>IF(Table1[[#This Row],[Years_Next_Rehab_Well]]=2,VLOOKUP(Table1[[#This Row],[Item_Rehab_WL]],[1]!Table2[#All],5,FALSE),0)</f>
        <v>0</v>
      </c>
      <c r="AI160" s="25">
        <f>IF(Table1[[#This Row],[Adjusted_ULife_HP]]=2,VLOOKUP(Table1[[#This Row],[Item_Handpump]],[1]!Table2[#All],5,FALSE),0)</f>
        <v>0</v>
      </c>
      <c r="AJ160" s="25">
        <f>IF(Table1[[#This Row],[Adjusted_ULife_PF]]=2,VLOOKUP(Table1[[#This Row],[Item_Platform]],[1]!Table2[#All],5,FALSE),0)</f>
        <v>0</v>
      </c>
      <c r="AK160" s="25">
        <f>SUM(Table1[[#This Row],[yr 2_wl]:[yr 2_pf]])</f>
        <v>0</v>
      </c>
      <c r="AL160" s="25">
        <f>IF(Table1[[#This Row],[Years_Next_Rehab_Well]]=3,VLOOKUP(Table1[[#This Row],[Item_Rehab_WL]],[1]!Table2[#All],6,FALSE),0)</f>
        <v>0</v>
      </c>
      <c r="AM160" s="25">
        <f>IF(Table1[[#This Row],[Adjusted_ULife_HP]]=3,VLOOKUP(Table1[[#This Row],[Item_Handpump]],[1]!Table2[#All],6,FALSE),0)</f>
        <v>0</v>
      </c>
      <c r="AN160" s="25">
        <f>IF(Table1[[#This Row],[Adjusted_ULife_PF]]=3,VLOOKUP(Table1[[#This Row],[Item_Platform]],[1]!Table2[#All],6,FALSE),0)</f>
        <v>0</v>
      </c>
      <c r="AO160" s="25">
        <f>SUM(Table1[[#This Row],[yr 3_wl]:[yr 3_pf]])</f>
        <v>0</v>
      </c>
      <c r="AP160" s="25">
        <f>IF(Table1[[#This Row],[Years_Next_Rehab_Well]]=4,VLOOKUP(Table1[[#This Row],[Item_Rehab_WL]],[1]!Table2[#All],7,FALSE),0)</f>
        <v>0</v>
      </c>
      <c r="AQ160" s="25">
        <f>IF(Table1[[#This Row],[Adjusted_ULife_HP]]=4,VLOOKUP(Table1[[#This Row],[Item_Handpump]],[1]!Table2[#All],7,FALSE),0)</f>
        <v>0</v>
      </c>
      <c r="AR160" s="25">
        <f>IF(Table1[[#This Row],[Adjusted_ULife_PF]]=4,VLOOKUP(Table1[[#This Row],[Item_Platform]],[1]!Table2[#All],7,FALSE),0)</f>
        <v>0</v>
      </c>
      <c r="AS160" s="25">
        <f>SUM(Table1[[#This Row],[yr 4_wl]:[yr 4_pf]])</f>
        <v>0</v>
      </c>
      <c r="AT160" s="25">
        <f>IF(Table1[[#This Row],[Years_Next_Rehab_Well]]=5,VLOOKUP(Table1[[#This Row],[Item_Rehab_WL]],[1]!Table2[#All],8,FALSE),0)</f>
        <v>0</v>
      </c>
      <c r="AU160" s="25">
        <f>IF(Table1[[#This Row],[Adjusted_ULife_HP]]=5,VLOOKUP(Table1[[#This Row],[Item_Handpump]],[1]!Table2[#All],8,FALSE),0)</f>
        <v>0</v>
      </c>
      <c r="AV160" s="25">
        <f>IF(Table1[[#This Row],[Adjusted_ULife_PF]]=5,VLOOKUP(Table1[[#This Row],[Item_Platform]],[1]!Table2[#All],8,FALSE),0)</f>
        <v>0</v>
      </c>
      <c r="AW160" s="25">
        <f>SUM(Table1[[#This Row],[yr 5_wl]:[yr 5_pf]])</f>
        <v>0</v>
      </c>
      <c r="AX160" s="25">
        <f>IF(Table1[[#This Row],[Years_Next_Rehab_Well]]=6,VLOOKUP(Table1[[#This Row],[Item_Rehab_WL]],[1]!Table2[#All],9,FALSE),0)</f>
        <v>0</v>
      </c>
      <c r="AY160" s="25">
        <f>IF(Table1[[#This Row],[Adjusted_ULife_HP]]=6,VLOOKUP(Table1[[#This Row],[Item_Handpump]],[1]!Table2[#All],9,FALSE),0)</f>
        <v>0</v>
      </c>
      <c r="AZ160" s="25">
        <f>IF(Table1[[#This Row],[Adjusted_ULife_PF]]=6,VLOOKUP(Table1[[#This Row],[Item_Platform]],[1]!Table2[#All],9,FALSE),0)</f>
        <v>0</v>
      </c>
      <c r="BA160" s="25">
        <f>SUM(Table1[[#This Row],[yr 6_wl]:[yr 6_pf]])</f>
        <v>0</v>
      </c>
      <c r="BB160" s="25">
        <f>IF(Table1[[#This Row],[Years_Next_Rehab_Well]]=7,VLOOKUP(Table1[[#This Row],[Item_Rehab_WL]],[1]!Table2[#All],10,FALSE),0)</f>
        <v>0</v>
      </c>
      <c r="BC160" s="25">
        <f>IF(Table1[[#This Row],[Adjusted_ULife_HP]]=7,VLOOKUP(Table1[[#This Row],[Item_Handpump]],[1]!Table2[#All],10,FALSE),0)</f>
        <v>0</v>
      </c>
      <c r="BD160" s="25">
        <f>IF(Table1[[#This Row],[Adjusted_ULife_PF]]=7,VLOOKUP(Table1[[#This Row],[Item_Platform]],[1]!Table2[#All],10,FALSE),0)</f>
        <v>0</v>
      </c>
      <c r="BE160" s="25">
        <f>SUM(Table1[[#This Row],[yr 7_wl]:[yr 7_pf]])</f>
        <v>0</v>
      </c>
      <c r="BF160" s="25">
        <f>IF(Table1[[#This Row],[Years_Next_Rehab_Well]]=8,VLOOKUP(Table1[[#This Row],[Item_Rehab_WL]],[1]!Table2[#All],11,FALSE),0)</f>
        <v>0</v>
      </c>
      <c r="BG160" s="25">
        <f>IF(Table1[[#This Row],[Adjusted_ULife_HP]]=8,VLOOKUP(Table1[[#This Row],[Item_Handpump]],[1]!Table2[#All],11,FALSE),0)</f>
        <v>0</v>
      </c>
      <c r="BH160" s="25">
        <f>IF(Table1[[#This Row],[Adjusted_ULife_PF]]=8,VLOOKUP(Table1[[#This Row],[Item_Platform]],[1]!Table2[#All],11,FALSE),0)</f>
        <v>0</v>
      </c>
      <c r="BI160" s="25">
        <f>SUM(Table1[[#This Row],[yr 8_wl]:[yr 8_pf]])</f>
        <v>0</v>
      </c>
      <c r="BJ160" s="25">
        <f>IF(Table1[[#This Row],[Years_Next_Rehab_Well]]=9,VLOOKUP(Table1[[#This Row],[Item_Rehab_WL]],[1]!Table2[#All],12,FALSE),0)</f>
        <v>10167.955443984027</v>
      </c>
      <c r="BK160" s="25">
        <f>IF(Table1[[#This Row],[Adjusted_ULife_HP]]=9,VLOOKUP(Table1[[#This Row],[Item_Handpump]],[1]!Table2[#All],12,FALSE),0)</f>
        <v>0</v>
      </c>
      <c r="BL160" s="25">
        <f>IF(Table1[[#This Row],[Adjusted_ULife_PF]]=9,VLOOKUP(Table1[[#This Row],[Item_Platform]],[1]!Table2[#All],12,FALSE),0)</f>
        <v>4159.6181361752842</v>
      </c>
      <c r="BM160" s="25">
        <f>SUM(Table1[[#This Row],[yr 9_wl]:[yr 9_pf]])</f>
        <v>14327.573580159311</v>
      </c>
      <c r="BN160" s="25">
        <f>IF(Table1[[#This Row],[Years_Next_Rehab_Well]]=10,VLOOKUP(Table1[[#This Row],[Item_Rehab_WL]],[1]!Table2[#All],13,FALSE),0)</f>
        <v>0</v>
      </c>
      <c r="BO160" s="25">
        <f>IF(Table1[[#This Row],[Adjusted_ULife_HP]]=10,VLOOKUP(Table1[[#This Row],[Item_Handpump]],[1]!Table2[#All],13,FALSE),0)</f>
        <v>0</v>
      </c>
      <c r="BP160" s="25">
        <f>IF(Table1[[#This Row],[Adjusted_ULife_PF]]=10,VLOOKUP(Table1[[#This Row],[Item_Platform]],[1]!Table2[#All],13,FALSE),0)</f>
        <v>0</v>
      </c>
      <c r="BQ160" s="25">
        <f>SUM(Table1[[#This Row],[yr 10_wl]:[yr 10_pf]])</f>
        <v>0</v>
      </c>
      <c r="BR160" s="25">
        <f>IF(Table1[[#This Row],[Years_Next_Rehab_Well]]=11,VLOOKUP(Table1[[#This Row],[Item_Rehab_WL]],[1]!Table2[#All],14,FALSE),0)</f>
        <v>0</v>
      </c>
      <c r="BS160" s="25">
        <f>IF(Table1[[#This Row],[Adjusted_ULife_HP]]=11,VLOOKUP(Table1[[#This Row],[Item_Handpump]],[1]!Table2[#All],14,FALSE),0)</f>
        <v>0</v>
      </c>
      <c r="BT160" s="25">
        <f>IF(Table1[[#This Row],[Adjusted_ULife_PF]]=11,VLOOKUP(Table1[[#This Row],[Item_Platform]],[1]!Table2[#All],14,FALSE),0)</f>
        <v>0</v>
      </c>
      <c r="BU160" s="25">
        <f>SUM(Table1[[#This Row],[yr 11_wl]:[yr 11_pf]])</f>
        <v>0</v>
      </c>
      <c r="BV160" s="25">
        <f>IF(Table1[[#This Row],[Years_Next_Rehab_Well]]=12,VLOOKUP(Table1[[#This Row],[Item_Rehab_WL]],[1]!Table2[#All],15,FALSE),0)</f>
        <v>0</v>
      </c>
      <c r="BW160" s="25">
        <f>IF(Table1[[#This Row],[Adjusted_ULife_HP]]=12,VLOOKUP(Table1[[#This Row],[Item_Handpump]],[1]!Table2[#All],15,FALSE),0)</f>
        <v>0</v>
      </c>
      <c r="BX160" s="25">
        <f>IF(Table1[[#This Row],[Adjusted_ULife_PF]]=12,VLOOKUP(Table1[[#This Row],[Item_Platform]],[1]!Table2[#All],15,FALSE),0)</f>
        <v>0</v>
      </c>
      <c r="BY160" s="25">
        <f>SUM(Table1[[#This Row],[yr 12_wl]:[yr 12_pf]])</f>
        <v>0</v>
      </c>
      <c r="BZ160" s="25">
        <f>IF(Table1[[#This Row],[Years_Next_Rehab_Well]]=13,VLOOKUP(Table1[[#This Row],[Item_Rehab_WL]],[1]!Table2[#All],16,FALSE),0)</f>
        <v>0</v>
      </c>
      <c r="CA160" s="25">
        <f>IF(Table1[[#This Row],[Adjusted_ULife_HP]]=13,VLOOKUP(Table1[[#This Row],[Item_Handpump]],[1]!Table2[#All],16,FALSE),0)</f>
        <v>0</v>
      </c>
      <c r="CB160" s="25">
        <f>IF(Table1[[#This Row],[Adjusted_ULife_PF]]=13,VLOOKUP(Table1[[#This Row],[Item_Platform]],[1]!Table2[#All],16,FALSE),0)</f>
        <v>0</v>
      </c>
      <c r="CC160" s="25">
        <f>SUM(Table1[[#This Row],[yr 13_wl]:[yr 13_pf]])</f>
        <v>0</v>
      </c>
      <c r="CD160" s="12"/>
    </row>
    <row r="161" spans="1:82" s="11" customFormat="1" x14ac:dyDescent="0.25">
      <c r="A161" s="11" t="str">
        <f>IF([1]Input_monitoring_data!A157="","",[1]Input_monitoring_data!A157)</f>
        <v>vh48-pamt-phqe</v>
      </c>
      <c r="B161" s="22" t="str">
        <f>[1]Input_monitoring_data!BH157</f>
        <v>Kenyasi No.2</v>
      </c>
      <c r="C161" s="22" t="str">
        <f>[1]Input_monitoring_data!BI157</f>
        <v>Osmanikrom</v>
      </c>
      <c r="D161" s="22" t="str">
        <f>[1]Input_monitoring_data!P157</f>
        <v>7.062417459838211</v>
      </c>
      <c r="E161" s="22" t="str">
        <f>[1]Input_monitoring_data!Q157</f>
        <v>-2.381717706547168</v>
      </c>
      <c r="F161" s="22" t="str">
        <f>[1]Input_monitoring_data!V157</f>
        <v>Aunti Tabi's CoacoFarm</v>
      </c>
      <c r="G161" s="23" t="str">
        <f>[1]Input_monitoring_data!U157</f>
        <v>Borehole</v>
      </c>
      <c r="H161" s="22">
        <f>[1]Input_monitoring_data!X157</f>
        <v>2009</v>
      </c>
      <c r="I161" s="21" t="str">
        <f>[1]Input_monitoring_data!AB157</f>
        <v>Borehole redevelopment</v>
      </c>
      <c r="J161" s="21">
        <f>[1]Input_monitoring_data!AC157</f>
        <v>0</v>
      </c>
      <c r="K161" s="23" t="str">
        <f>[1]Input_monitoring_data!W157</f>
        <v>AfriDev</v>
      </c>
      <c r="L161" s="22">
        <f>[1]Input_monitoring_data!X157</f>
        <v>2009</v>
      </c>
      <c r="M161" s="21">
        <f>IF([1]Input_monitoring_data!BL157&gt;'Point Sources_Asset_Register_'!L161,[1]Input_monitoring_data!BL157,"")</f>
        <v>2017</v>
      </c>
      <c r="N161" s="22" t="str">
        <f>[1]Input_monitoring_data!BQ157</f>
        <v>partially functional</v>
      </c>
      <c r="O161" s="22">
        <f>[1]Input_monitoring_data!AJ157</f>
        <v>0</v>
      </c>
      <c r="P161" s="23" t="s">
        <v>0</v>
      </c>
      <c r="Q161" s="22">
        <f>L161</f>
        <v>2009</v>
      </c>
      <c r="R161" s="21">
        <f>M161</f>
        <v>2017</v>
      </c>
      <c r="S161" s="20">
        <f>[1]Input_EUL_CRC_ERC!$B$17-Table1[[#This Row],[Year Installed_WL]]</f>
        <v>8</v>
      </c>
      <c r="T161" s="20">
        <f>[1]Input_EUL_CRC_ERC!$B$17-(IF(Table1[[#This Row],[Year Last_Rehab_WL ]]=0,Table1[[#This Row],[Year Installed_WL]],[1]Input_EUL_CRC_ERC!$B$17-Table1[[#This Row],[Year Last_Rehab_WL ]]))</f>
        <v>8</v>
      </c>
      <c r="U161" s="20">
        <f>(VLOOKUP(Table1[[#This Row],[Item_Rehab_WL]],[1]Input_EUL_CRC_ERC!$C$17:$E$27,2,FALSE)-Table1[[#This Row],[Last Rehab Age]])</f>
        <v>7</v>
      </c>
      <c r="V161" s="19">
        <f>[1]Input_EUL_CRC_ERC!$B$17-Table1[[#This Row],[Year Installed_HP]]</f>
        <v>8</v>
      </c>
      <c r="W161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61" s="19">
        <f>[1]Input_EUL_CRC_ERC!$B$17-Table1[[#This Row],[Year Installed_PF]]</f>
        <v>8</v>
      </c>
      <c r="Y161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61" s="25">
        <f>IF(Table1[[#This Row],[Years_Next_Rehab_Well]]&lt;=0,VLOOKUP(Table1[[#This Row],[Item_Rehab_WL]],[1]!Table2[#All],3,FALSE),0)</f>
        <v>0</v>
      </c>
      <c r="AA161" s="18">
        <f>IF(Table1[[#This Row],[Adjusted_ULife_HP]]&lt;=0,VLOOKUP(Table1[[#This Row],[Item_Handpump]],[1]!Table2[#All],3,FALSE),0)</f>
        <v>0</v>
      </c>
      <c r="AB161" s="18">
        <f>IF(Table1[[#This Row],[Adjusted_ULife_PF]]&lt;=0,VLOOKUP(Table1[[#This Row],[Item_Platform]],[1]!Table2[#All],3,FALSE),0)</f>
        <v>0</v>
      </c>
      <c r="AC161" s="18">
        <f>SUM(Table1[[#This Row],[current yr_wl]:[current yr_pf]])</f>
        <v>0</v>
      </c>
      <c r="AD161" s="25">
        <f>IF(Table1[[#This Row],[Years_Next_Rehab_Well]]=1,VLOOKUP(Table1[[#This Row],[Item_Rehab_WL]],[1]!Table2[#All],4,FALSE),0)</f>
        <v>0</v>
      </c>
      <c r="AE161" s="25">
        <f>IF(Table1[[#This Row],[Adjusted_ULife_HP]]=1,VLOOKUP(Table1[[#This Row],[Item_Handpump]],[1]!Table2[#All],4,FALSE),0)</f>
        <v>0</v>
      </c>
      <c r="AF161" s="25">
        <f>IF(Table1[[#This Row],[Adjusted_ULife_PF]]=1,VLOOKUP(Table1[[#This Row],[Item_Platform]],[1]!Table2[#All],4,FALSE),0)</f>
        <v>0</v>
      </c>
      <c r="AG161" s="25">
        <f>SUM(Table1[[#This Row],[yr 1_wl]:[yr 1_pf]])</f>
        <v>0</v>
      </c>
      <c r="AH161" s="25">
        <f>IF(Table1[[#This Row],[Years_Next_Rehab_Well]]=2,VLOOKUP(Table1[[#This Row],[Item_Rehab_WL]],[1]!Table2[#All],5,FALSE),0)</f>
        <v>0</v>
      </c>
      <c r="AI161" s="25">
        <f>IF(Table1[[#This Row],[Adjusted_ULife_HP]]=2,VLOOKUP(Table1[[#This Row],[Item_Handpump]],[1]!Table2[#All],5,FALSE),0)</f>
        <v>0</v>
      </c>
      <c r="AJ161" s="25">
        <f>IF(Table1[[#This Row],[Adjusted_ULife_PF]]=2,VLOOKUP(Table1[[#This Row],[Item_Platform]],[1]!Table2[#All],5,FALSE),0)</f>
        <v>0</v>
      </c>
      <c r="AK161" s="25">
        <f>SUM(Table1[[#This Row],[yr 2_wl]:[yr 2_pf]])</f>
        <v>0</v>
      </c>
      <c r="AL161" s="25">
        <f>IF(Table1[[#This Row],[Years_Next_Rehab_Well]]=3,VLOOKUP(Table1[[#This Row],[Item_Rehab_WL]],[1]!Table2[#All],6,FALSE),0)</f>
        <v>0</v>
      </c>
      <c r="AM161" s="25">
        <f>IF(Table1[[#This Row],[Adjusted_ULife_HP]]=3,VLOOKUP(Table1[[#This Row],[Item_Handpump]],[1]!Table2[#All],6,FALSE),0)</f>
        <v>0</v>
      </c>
      <c r="AN161" s="25">
        <f>IF(Table1[[#This Row],[Adjusted_ULife_PF]]=3,VLOOKUP(Table1[[#This Row],[Item_Platform]],[1]!Table2[#All],6,FALSE),0)</f>
        <v>0</v>
      </c>
      <c r="AO161" s="25">
        <f>SUM(Table1[[#This Row],[yr 3_wl]:[yr 3_pf]])</f>
        <v>0</v>
      </c>
      <c r="AP161" s="25">
        <f>IF(Table1[[#This Row],[Years_Next_Rehab_Well]]=4,VLOOKUP(Table1[[#This Row],[Item_Rehab_WL]],[1]!Table2[#All],7,FALSE),0)</f>
        <v>0</v>
      </c>
      <c r="AQ161" s="25">
        <f>IF(Table1[[#This Row],[Adjusted_ULife_HP]]=4,VLOOKUP(Table1[[#This Row],[Item_Handpump]],[1]!Table2[#All],7,FALSE),0)</f>
        <v>0</v>
      </c>
      <c r="AR161" s="25">
        <f>IF(Table1[[#This Row],[Adjusted_ULife_PF]]=4,VLOOKUP(Table1[[#This Row],[Item_Platform]],[1]!Table2[#All],7,FALSE),0)</f>
        <v>0</v>
      </c>
      <c r="AS161" s="25">
        <f>SUM(Table1[[#This Row],[yr 4_wl]:[yr 4_pf]])</f>
        <v>0</v>
      </c>
      <c r="AT161" s="25">
        <f>IF(Table1[[#This Row],[Years_Next_Rehab_Well]]=5,VLOOKUP(Table1[[#This Row],[Item_Rehab_WL]],[1]!Table2[#All],8,FALSE),0)</f>
        <v>0</v>
      </c>
      <c r="AU161" s="25">
        <f>IF(Table1[[#This Row],[Adjusted_ULife_HP]]=5,VLOOKUP(Table1[[#This Row],[Item_Handpump]],[1]!Table2[#All],8,FALSE),0)</f>
        <v>0</v>
      </c>
      <c r="AV161" s="25">
        <f>IF(Table1[[#This Row],[Adjusted_ULife_PF]]=5,VLOOKUP(Table1[[#This Row],[Item_Platform]],[1]!Table2[#All],8,FALSE),0)</f>
        <v>0</v>
      </c>
      <c r="AW161" s="25">
        <f>SUM(Table1[[#This Row],[yr 5_wl]:[yr 5_pf]])</f>
        <v>0</v>
      </c>
      <c r="AX161" s="25">
        <f>IF(Table1[[#This Row],[Years_Next_Rehab_Well]]=6,VLOOKUP(Table1[[#This Row],[Item_Rehab_WL]],[1]!Table2[#All],9,FALSE),0)</f>
        <v>0</v>
      </c>
      <c r="AY161" s="25">
        <f>IF(Table1[[#This Row],[Adjusted_ULife_HP]]=6,VLOOKUP(Table1[[#This Row],[Item_Handpump]],[1]!Table2[#All],9,FALSE),0)</f>
        <v>0</v>
      </c>
      <c r="AZ161" s="25">
        <f>IF(Table1[[#This Row],[Adjusted_ULife_PF]]=6,VLOOKUP(Table1[[#This Row],[Item_Platform]],[1]!Table2[#All],9,FALSE),0)</f>
        <v>0</v>
      </c>
      <c r="BA161" s="25">
        <f>SUM(Table1[[#This Row],[yr 6_wl]:[yr 6_pf]])</f>
        <v>0</v>
      </c>
      <c r="BB161" s="25">
        <f>IF(Table1[[#This Row],[Years_Next_Rehab_Well]]=7,VLOOKUP(Table1[[#This Row],[Item_Rehab_WL]],[1]!Table2[#All],10,FALSE),0)</f>
        <v>8105.8318271556318</v>
      </c>
      <c r="BC161" s="25">
        <f>IF(Table1[[#This Row],[Adjusted_ULife_HP]]=7,VLOOKUP(Table1[[#This Row],[Item_Handpump]],[1]!Table2[#All],10,FALSE),0)</f>
        <v>0</v>
      </c>
      <c r="BD161" s="25">
        <f>IF(Table1[[#This Row],[Adjusted_ULife_PF]]=7,VLOOKUP(Table1[[#This Row],[Item_Platform]],[1]!Table2[#All],10,FALSE),0)</f>
        <v>0</v>
      </c>
      <c r="BE161" s="25">
        <f>SUM(Table1[[#This Row],[yr 7_wl]:[yr 7_pf]])</f>
        <v>8105.8318271556318</v>
      </c>
      <c r="BF161" s="25">
        <f>IF(Table1[[#This Row],[Years_Next_Rehab_Well]]=8,VLOOKUP(Table1[[#This Row],[Item_Rehab_WL]],[1]!Table2[#All],11,FALSE),0)</f>
        <v>0</v>
      </c>
      <c r="BG161" s="25">
        <f>IF(Table1[[#This Row],[Adjusted_ULife_HP]]=8,VLOOKUP(Table1[[#This Row],[Item_Handpump]],[1]!Table2[#All],11,FALSE),0)</f>
        <v>0</v>
      </c>
      <c r="BH161" s="25">
        <f>IF(Table1[[#This Row],[Adjusted_ULife_PF]]=8,VLOOKUP(Table1[[#This Row],[Item_Platform]],[1]!Table2[#All],11,FALSE),0)</f>
        <v>0</v>
      </c>
      <c r="BI161" s="25">
        <f>SUM(Table1[[#This Row],[yr 8_wl]:[yr 8_pf]])</f>
        <v>0</v>
      </c>
      <c r="BJ161" s="25">
        <f>IF(Table1[[#This Row],[Years_Next_Rehab_Well]]=9,VLOOKUP(Table1[[#This Row],[Item_Rehab_WL]],[1]!Table2[#All],12,FALSE),0)</f>
        <v>0</v>
      </c>
      <c r="BK161" s="25">
        <f>IF(Table1[[#This Row],[Adjusted_ULife_HP]]=9,VLOOKUP(Table1[[#This Row],[Item_Handpump]],[1]!Table2[#All],12,FALSE),0)</f>
        <v>0</v>
      </c>
      <c r="BL161" s="25">
        <f>IF(Table1[[#This Row],[Adjusted_ULife_PF]]=9,VLOOKUP(Table1[[#This Row],[Item_Platform]],[1]!Table2[#All],12,FALSE),0)</f>
        <v>0</v>
      </c>
      <c r="BM161" s="25">
        <f>SUM(Table1[[#This Row],[yr 9_wl]:[yr 9_pf]])</f>
        <v>0</v>
      </c>
      <c r="BN161" s="25">
        <f>IF(Table1[[#This Row],[Years_Next_Rehab_Well]]=10,VLOOKUP(Table1[[#This Row],[Item_Rehab_WL]],[1]!Table2[#All],13,FALSE),0)</f>
        <v>0</v>
      </c>
      <c r="BO161" s="25">
        <f>IF(Table1[[#This Row],[Adjusted_ULife_HP]]=10,VLOOKUP(Table1[[#This Row],[Item_Handpump]],[1]!Table2[#All],13,FALSE),0)</f>
        <v>0</v>
      </c>
      <c r="BP161" s="25">
        <f>IF(Table1[[#This Row],[Adjusted_ULife_PF]]=10,VLOOKUP(Table1[[#This Row],[Item_Platform]],[1]!Table2[#All],13,FALSE),0)</f>
        <v>4658.7723125163184</v>
      </c>
      <c r="BQ161" s="25">
        <f>SUM(Table1[[#This Row],[yr 10_wl]:[yr 10_pf]])</f>
        <v>4658.7723125163184</v>
      </c>
      <c r="BR161" s="25">
        <f>IF(Table1[[#This Row],[Years_Next_Rehab_Well]]=11,VLOOKUP(Table1[[#This Row],[Item_Rehab_WL]],[1]!Table2[#All],14,FALSE),0)</f>
        <v>0</v>
      </c>
      <c r="BS161" s="25">
        <f>IF(Table1[[#This Row],[Adjusted_ULife_HP]]=11,VLOOKUP(Table1[[#This Row],[Item_Handpump]],[1]!Table2[#All],14,FALSE),0)</f>
        <v>0</v>
      </c>
      <c r="BT161" s="25">
        <f>IF(Table1[[#This Row],[Adjusted_ULife_PF]]=11,VLOOKUP(Table1[[#This Row],[Item_Platform]],[1]!Table2[#All],14,FALSE),0)</f>
        <v>0</v>
      </c>
      <c r="BU161" s="25">
        <f>SUM(Table1[[#This Row],[yr 11_wl]:[yr 11_pf]])</f>
        <v>0</v>
      </c>
      <c r="BV161" s="25">
        <f>IF(Table1[[#This Row],[Years_Next_Rehab_Well]]=12,VLOOKUP(Table1[[#This Row],[Item_Rehab_WL]],[1]!Table2[#All],15,FALSE),0)</f>
        <v>0</v>
      </c>
      <c r="BW161" s="25">
        <f>IF(Table1[[#This Row],[Adjusted_ULife_HP]]=12,VLOOKUP(Table1[[#This Row],[Item_Handpump]],[1]!Table2[#All],15,FALSE),0)</f>
        <v>0</v>
      </c>
      <c r="BX161" s="25">
        <f>IF(Table1[[#This Row],[Adjusted_ULife_PF]]=12,VLOOKUP(Table1[[#This Row],[Item_Platform]],[1]!Table2[#All],15,FALSE),0)</f>
        <v>0</v>
      </c>
      <c r="BY161" s="25">
        <f>SUM(Table1[[#This Row],[yr 12_wl]:[yr 12_pf]])</f>
        <v>0</v>
      </c>
      <c r="BZ161" s="25">
        <f>IF(Table1[[#This Row],[Years_Next_Rehab_Well]]=13,VLOOKUP(Table1[[#This Row],[Item_Rehab_WL]],[1]!Table2[#All],16,FALSE),0)</f>
        <v>0</v>
      </c>
      <c r="CA161" s="25">
        <f>IF(Table1[[#This Row],[Adjusted_ULife_HP]]=13,VLOOKUP(Table1[[#This Row],[Item_Handpump]],[1]!Table2[#All],16,FALSE),0)</f>
        <v>0</v>
      </c>
      <c r="CB161" s="25">
        <f>IF(Table1[[#This Row],[Adjusted_ULife_PF]]=13,VLOOKUP(Table1[[#This Row],[Item_Platform]],[1]!Table2[#All],16,FALSE),0)</f>
        <v>0</v>
      </c>
      <c r="CC161" s="25">
        <f>SUM(Table1[[#This Row],[yr 13_wl]:[yr 13_pf]])</f>
        <v>0</v>
      </c>
      <c r="CD161" s="12"/>
    </row>
    <row r="162" spans="1:82" s="11" customFormat="1" x14ac:dyDescent="0.25">
      <c r="A162" s="11" t="str">
        <f>IF([1]Input_monitoring_data!A158="","",[1]Input_monitoring_data!A158)</f>
        <v>vkt9-q8rr-7pgq</v>
      </c>
      <c r="B162" s="22" t="str">
        <f>[1]Input_monitoring_data!BH158</f>
        <v>Kenyasi No.2</v>
      </c>
      <c r="C162" s="22" t="str">
        <f>[1]Input_monitoring_data!BI158</f>
        <v>Yawusukrom</v>
      </c>
      <c r="D162" s="22" t="str">
        <f>[1]Input_monitoring_data!P158</f>
        <v>7.067718627113017</v>
      </c>
      <c r="E162" s="22" t="str">
        <f>[1]Input_monitoring_data!Q158</f>
        <v>-2.3776020628018983</v>
      </c>
      <c r="F162" s="22" t="str">
        <f>[1]Input_monitoring_data!V158</f>
        <v>Near Mr. Kwaku Twumasi's Cocoa Farm</v>
      </c>
      <c r="G162" s="23" t="str">
        <f>[1]Input_monitoring_data!U158</f>
        <v>Borehole</v>
      </c>
      <c r="H162" s="22">
        <f>[1]Input_monitoring_data!X158</f>
        <v>2012</v>
      </c>
      <c r="I162" s="21" t="str">
        <f>[1]Input_monitoring_data!AB158</f>
        <v>Borehole redevelopment</v>
      </c>
      <c r="J162" s="21">
        <f>[1]Input_monitoring_data!AC158</f>
        <v>0</v>
      </c>
      <c r="K162" s="23" t="str">
        <f>[1]Input_monitoring_data!W158</f>
        <v>AfriDev</v>
      </c>
      <c r="L162" s="22">
        <f>[1]Input_monitoring_data!X158</f>
        <v>2012</v>
      </c>
      <c r="M162" s="21">
        <f>IF([1]Input_monitoring_data!BL158&gt;'Point Sources_Asset_Register_'!L162,[1]Input_monitoring_data!BL158,"")</f>
        <v>2017</v>
      </c>
      <c r="N162" s="22" t="str">
        <f>[1]Input_monitoring_data!BQ158</f>
        <v>functional</v>
      </c>
      <c r="O162" s="22">
        <f>[1]Input_monitoring_data!AJ158</f>
        <v>0</v>
      </c>
      <c r="P162" s="23" t="s">
        <v>0</v>
      </c>
      <c r="Q162" s="22">
        <f>L162</f>
        <v>2012</v>
      </c>
      <c r="R162" s="21">
        <f>M162</f>
        <v>2017</v>
      </c>
      <c r="S162" s="20">
        <f>[1]Input_EUL_CRC_ERC!$B$17-Table1[[#This Row],[Year Installed_WL]]</f>
        <v>5</v>
      </c>
      <c r="T162" s="20">
        <f>[1]Input_EUL_CRC_ERC!$B$17-(IF(Table1[[#This Row],[Year Last_Rehab_WL ]]=0,Table1[[#This Row],[Year Installed_WL]],[1]Input_EUL_CRC_ERC!$B$17-Table1[[#This Row],[Year Last_Rehab_WL ]]))</f>
        <v>5</v>
      </c>
      <c r="U162" s="20">
        <f>(VLOOKUP(Table1[[#This Row],[Item_Rehab_WL]],[1]Input_EUL_CRC_ERC!$C$17:$E$27,2,FALSE)-Table1[[#This Row],[Last Rehab Age]])</f>
        <v>10</v>
      </c>
      <c r="V162" s="19">
        <f>[1]Input_EUL_CRC_ERC!$B$17-Table1[[#This Row],[Year Installed_HP]]</f>
        <v>5</v>
      </c>
      <c r="W162" s="19">
        <f>(VLOOKUP(Table1[[#This Row],[Item_Handpump]],[1]!Table2[#All],2,FALSE))-(IF(Table1[[#This Row],[Year Last_Rehab_HP]]="",Table1[[#This Row],[Current Age_Handpump]],[1]Input_EUL_CRC_ERC!$B$17-Table1[[#This Row],[Year Last_Rehab_HP]]))</f>
        <v>20</v>
      </c>
      <c r="X162" s="19">
        <f>[1]Input_EUL_CRC_ERC!$B$17-Table1[[#This Row],[Year Installed_PF]]</f>
        <v>5</v>
      </c>
      <c r="Y162" s="19">
        <f>(VLOOKUP(Table1[[#This Row],[Item_Platform]],[1]!Table2[#All],2,FALSE))-(IF(Table1[[#This Row],[Year Last_Rehab_PF]]="",Table1[[#This Row],[Current Age_Platform]],[1]Input_EUL_CRC_ERC!$B$17-Table1[[#This Row],[Year Last_Rehab_PF]]))</f>
        <v>10</v>
      </c>
      <c r="Z162" s="25">
        <f>IF(Table1[[#This Row],[Years_Next_Rehab_Well]]&lt;=0,VLOOKUP(Table1[[#This Row],[Item_Rehab_WL]],[1]!Table2[#All],3,FALSE),0)</f>
        <v>0</v>
      </c>
      <c r="AA162" s="18">
        <f>IF(Table1[[#This Row],[Adjusted_ULife_HP]]&lt;=0,VLOOKUP(Table1[[#This Row],[Item_Handpump]],[1]!Table2[#All],3,FALSE),0)</f>
        <v>0</v>
      </c>
      <c r="AB162" s="18">
        <f>IF(Table1[[#This Row],[Adjusted_ULife_PF]]&lt;=0,VLOOKUP(Table1[[#This Row],[Item_Platform]],[1]!Table2[#All],3,FALSE),0)</f>
        <v>0</v>
      </c>
      <c r="AC162" s="18">
        <f>SUM(Table1[[#This Row],[current yr_wl]:[current yr_pf]])</f>
        <v>0</v>
      </c>
      <c r="AD162" s="25">
        <f>IF(Table1[[#This Row],[Years_Next_Rehab_Well]]=1,VLOOKUP(Table1[[#This Row],[Item_Rehab_WL]],[1]!Table2[#All],4,FALSE),0)</f>
        <v>0</v>
      </c>
      <c r="AE162" s="25">
        <f>IF(Table1[[#This Row],[Adjusted_ULife_HP]]=1,VLOOKUP(Table1[[#This Row],[Item_Handpump]],[1]!Table2[#All],4,FALSE),0)</f>
        <v>0</v>
      </c>
      <c r="AF162" s="25">
        <f>IF(Table1[[#This Row],[Adjusted_ULife_PF]]=1,VLOOKUP(Table1[[#This Row],[Item_Platform]],[1]!Table2[#All],4,FALSE),0)</f>
        <v>0</v>
      </c>
      <c r="AG162" s="25">
        <f>SUM(Table1[[#This Row],[yr 1_wl]:[yr 1_pf]])</f>
        <v>0</v>
      </c>
      <c r="AH162" s="25">
        <f>IF(Table1[[#This Row],[Years_Next_Rehab_Well]]=2,VLOOKUP(Table1[[#This Row],[Item_Rehab_WL]],[1]!Table2[#All],5,FALSE),0)</f>
        <v>0</v>
      </c>
      <c r="AI162" s="25">
        <f>IF(Table1[[#This Row],[Adjusted_ULife_HP]]=2,VLOOKUP(Table1[[#This Row],[Item_Handpump]],[1]!Table2[#All],5,FALSE),0)</f>
        <v>0</v>
      </c>
      <c r="AJ162" s="25">
        <f>IF(Table1[[#This Row],[Adjusted_ULife_PF]]=2,VLOOKUP(Table1[[#This Row],[Item_Platform]],[1]!Table2[#All],5,FALSE),0)</f>
        <v>0</v>
      </c>
      <c r="AK162" s="25">
        <f>SUM(Table1[[#This Row],[yr 2_wl]:[yr 2_pf]])</f>
        <v>0</v>
      </c>
      <c r="AL162" s="25">
        <f>IF(Table1[[#This Row],[Years_Next_Rehab_Well]]=3,VLOOKUP(Table1[[#This Row],[Item_Rehab_WL]],[1]!Table2[#All],6,FALSE),0)</f>
        <v>0</v>
      </c>
      <c r="AM162" s="25">
        <f>IF(Table1[[#This Row],[Adjusted_ULife_HP]]=3,VLOOKUP(Table1[[#This Row],[Item_Handpump]],[1]!Table2[#All],6,FALSE),0)</f>
        <v>0</v>
      </c>
      <c r="AN162" s="25">
        <f>IF(Table1[[#This Row],[Adjusted_ULife_PF]]=3,VLOOKUP(Table1[[#This Row],[Item_Platform]],[1]!Table2[#All],6,FALSE),0)</f>
        <v>0</v>
      </c>
      <c r="AO162" s="25">
        <f>SUM(Table1[[#This Row],[yr 3_wl]:[yr 3_pf]])</f>
        <v>0</v>
      </c>
      <c r="AP162" s="25">
        <f>IF(Table1[[#This Row],[Years_Next_Rehab_Well]]=4,VLOOKUP(Table1[[#This Row],[Item_Rehab_WL]],[1]!Table2[#All],7,FALSE),0)</f>
        <v>0</v>
      </c>
      <c r="AQ162" s="25">
        <f>IF(Table1[[#This Row],[Adjusted_ULife_HP]]=4,VLOOKUP(Table1[[#This Row],[Item_Handpump]],[1]!Table2[#All],7,FALSE),0)</f>
        <v>0</v>
      </c>
      <c r="AR162" s="25">
        <f>IF(Table1[[#This Row],[Adjusted_ULife_PF]]=4,VLOOKUP(Table1[[#This Row],[Item_Platform]],[1]!Table2[#All],7,FALSE),0)</f>
        <v>0</v>
      </c>
      <c r="AS162" s="25">
        <f>SUM(Table1[[#This Row],[yr 4_wl]:[yr 4_pf]])</f>
        <v>0</v>
      </c>
      <c r="AT162" s="25">
        <f>IF(Table1[[#This Row],[Years_Next_Rehab_Well]]=5,VLOOKUP(Table1[[#This Row],[Item_Rehab_WL]],[1]!Table2[#All],8,FALSE),0)</f>
        <v>0</v>
      </c>
      <c r="AU162" s="25">
        <f>IF(Table1[[#This Row],[Adjusted_ULife_HP]]=5,VLOOKUP(Table1[[#This Row],[Item_Handpump]],[1]!Table2[#All],8,FALSE),0)</f>
        <v>0</v>
      </c>
      <c r="AV162" s="25">
        <f>IF(Table1[[#This Row],[Adjusted_ULife_PF]]=5,VLOOKUP(Table1[[#This Row],[Item_Platform]],[1]!Table2[#All],8,FALSE),0)</f>
        <v>0</v>
      </c>
      <c r="AW162" s="25">
        <f>SUM(Table1[[#This Row],[yr 5_wl]:[yr 5_pf]])</f>
        <v>0</v>
      </c>
      <c r="AX162" s="25">
        <f>IF(Table1[[#This Row],[Years_Next_Rehab_Well]]=6,VLOOKUP(Table1[[#This Row],[Item_Rehab_WL]],[1]!Table2[#All],9,FALSE),0)</f>
        <v>0</v>
      </c>
      <c r="AY162" s="25">
        <f>IF(Table1[[#This Row],[Adjusted_ULife_HP]]=6,VLOOKUP(Table1[[#This Row],[Item_Handpump]],[1]!Table2[#All],9,FALSE),0)</f>
        <v>0</v>
      </c>
      <c r="AZ162" s="25">
        <f>IF(Table1[[#This Row],[Adjusted_ULife_PF]]=6,VLOOKUP(Table1[[#This Row],[Item_Platform]],[1]!Table2[#All],9,FALSE),0)</f>
        <v>0</v>
      </c>
      <c r="BA162" s="25">
        <f>SUM(Table1[[#This Row],[yr 6_wl]:[yr 6_pf]])</f>
        <v>0</v>
      </c>
      <c r="BB162" s="25">
        <f>IF(Table1[[#This Row],[Years_Next_Rehab_Well]]=7,VLOOKUP(Table1[[#This Row],[Item_Rehab_WL]],[1]!Table2[#All],10,FALSE),0)</f>
        <v>0</v>
      </c>
      <c r="BC162" s="25">
        <f>IF(Table1[[#This Row],[Adjusted_ULife_HP]]=7,VLOOKUP(Table1[[#This Row],[Item_Handpump]],[1]!Table2[#All],10,FALSE),0)</f>
        <v>0</v>
      </c>
      <c r="BD162" s="25">
        <f>IF(Table1[[#This Row],[Adjusted_ULife_PF]]=7,VLOOKUP(Table1[[#This Row],[Item_Platform]],[1]!Table2[#All],10,FALSE),0)</f>
        <v>0</v>
      </c>
      <c r="BE162" s="25">
        <f>SUM(Table1[[#This Row],[yr 7_wl]:[yr 7_pf]])</f>
        <v>0</v>
      </c>
      <c r="BF162" s="25">
        <f>IF(Table1[[#This Row],[Years_Next_Rehab_Well]]=8,VLOOKUP(Table1[[#This Row],[Item_Rehab_WL]],[1]!Table2[#All],11,FALSE),0)</f>
        <v>0</v>
      </c>
      <c r="BG162" s="25">
        <f>IF(Table1[[#This Row],[Adjusted_ULife_HP]]=8,VLOOKUP(Table1[[#This Row],[Item_Handpump]],[1]!Table2[#All],11,FALSE),0)</f>
        <v>0</v>
      </c>
      <c r="BH162" s="25">
        <f>IF(Table1[[#This Row],[Adjusted_ULife_PF]]=8,VLOOKUP(Table1[[#This Row],[Item_Platform]],[1]!Table2[#All],11,FALSE),0)</f>
        <v>0</v>
      </c>
      <c r="BI162" s="25">
        <f>SUM(Table1[[#This Row],[yr 8_wl]:[yr 8_pf]])</f>
        <v>0</v>
      </c>
      <c r="BJ162" s="25">
        <f>IF(Table1[[#This Row],[Years_Next_Rehab_Well]]=9,VLOOKUP(Table1[[#This Row],[Item_Rehab_WL]],[1]!Table2[#All],12,FALSE),0)</f>
        <v>0</v>
      </c>
      <c r="BK162" s="25">
        <f>IF(Table1[[#This Row],[Adjusted_ULife_HP]]=9,VLOOKUP(Table1[[#This Row],[Item_Handpump]],[1]!Table2[#All],12,FALSE),0)</f>
        <v>0</v>
      </c>
      <c r="BL162" s="25">
        <f>IF(Table1[[#This Row],[Adjusted_ULife_PF]]=9,VLOOKUP(Table1[[#This Row],[Item_Platform]],[1]!Table2[#All],12,FALSE),0)</f>
        <v>0</v>
      </c>
      <c r="BM162" s="25">
        <f>SUM(Table1[[#This Row],[yr 9_wl]:[yr 9_pf]])</f>
        <v>0</v>
      </c>
      <c r="BN162" s="25">
        <f>IF(Table1[[#This Row],[Years_Next_Rehab_Well]]=10,VLOOKUP(Table1[[#This Row],[Item_Rehab_WL]],[1]!Table2[#All],13,FALSE),0)</f>
        <v>11388.110097262112</v>
      </c>
      <c r="BO162" s="25">
        <f>IF(Table1[[#This Row],[Adjusted_ULife_HP]]=10,VLOOKUP(Table1[[#This Row],[Item_Handpump]],[1]!Table2[#All],13,FALSE),0)</f>
        <v>0</v>
      </c>
      <c r="BP162" s="25">
        <f>IF(Table1[[#This Row],[Adjusted_ULife_PF]]=10,VLOOKUP(Table1[[#This Row],[Item_Platform]],[1]!Table2[#All],13,FALSE),0)</f>
        <v>4658.7723125163184</v>
      </c>
      <c r="BQ162" s="25">
        <f>SUM(Table1[[#This Row],[yr 10_wl]:[yr 10_pf]])</f>
        <v>16046.882409778431</v>
      </c>
      <c r="BR162" s="25">
        <f>IF(Table1[[#This Row],[Years_Next_Rehab_Well]]=11,VLOOKUP(Table1[[#This Row],[Item_Rehab_WL]],[1]!Table2[#All],14,FALSE),0)</f>
        <v>0</v>
      </c>
      <c r="BS162" s="25">
        <f>IF(Table1[[#This Row],[Adjusted_ULife_HP]]=11,VLOOKUP(Table1[[#This Row],[Item_Handpump]],[1]!Table2[#All],14,FALSE),0)</f>
        <v>0</v>
      </c>
      <c r="BT162" s="25">
        <f>IF(Table1[[#This Row],[Adjusted_ULife_PF]]=11,VLOOKUP(Table1[[#This Row],[Item_Platform]],[1]!Table2[#All],14,FALSE),0)</f>
        <v>0</v>
      </c>
      <c r="BU162" s="25">
        <f>SUM(Table1[[#This Row],[yr 11_wl]:[yr 11_pf]])</f>
        <v>0</v>
      </c>
      <c r="BV162" s="25">
        <f>IF(Table1[[#This Row],[Years_Next_Rehab_Well]]=12,VLOOKUP(Table1[[#This Row],[Item_Rehab_WL]],[1]!Table2[#All],15,FALSE),0)</f>
        <v>0</v>
      </c>
      <c r="BW162" s="25">
        <f>IF(Table1[[#This Row],[Adjusted_ULife_HP]]=12,VLOOKUP(Table1[[#This Row],[Item_Handpump]],[1]!Table2[#All],15,FALSE),0)</f>
        <v>0</v>
      </c>
      <c r="BX162" s="25">
        <f>IF(Table1[[#This Row],[Adjusted_ULife_PF]]=12,VLOOKUP(Table1[[#This Row],[Item_Platform]],[1]!Table2[#All],15,FALSE),0)</f>
        <v>0</v>
      </c>
      <c r="BY162" s="25">
        <f>SUM(Table1[[#This Row],[yr 12_wl]:[yr 12_pf]])</f>
        <v>0</v>
      </c>
      <c r="BZ162" s="25">
        <f>IF(Table1[[#This Row],[Years_Next_Rehab_Well]]=13,VLOOKUP(Table1[[#This Row],[Item_Rehab_WL]],[1]!Table2[#All],16,FALSE),0)</f>
        <v>0</v>
      </c>
      <c r="CA162" s="25">
        <f>IF(Table1[[#This Row],[Adjusted_ULife_HP]]=13,VLOOKUP(Table1[[#This Row],[Item_Handpump]],[1]!Table2[#All],16,FALSE),0)</f>
        <v>0</v>
      </c>
      <c r="CB162" s="25">
        <f>IF(Table1[[#This Row],[Adjusted_ULife_PF]]=13,VLOOKUP(Table1[[#This Row],[Item_Platform]],[1]!Table2[#All],16,FALSE),0)</f>
        <v>0</v>
      </c>
      <c r="CC162" s="25">
        <f>SUM(Table1[[#This Row],[yr 13_wl]:[yr 13_pf]])</f>
        <v>0</v>
      </c>
      <c r="CD162" s="12"/>
    </row>
    <row r="163" spans="1:82" s="11" customFormat="1" x14ac:dyDescent="0.25">
      <c r="A163" s="11" t="str">
        <f>IF([1]Input_monitoring_data!A159="","",[1]Input_monitoring_data!A159)</f>
        <v>vs1j-uc20-yb4d</v>
      </c>
      <c r="B163" s="22" t="str">
        <f>[1]Input_monitoring_data!BH159</f>
        <v>Ntotroso</v>
      </c>
      <c r="C163" s="22" t="str">
        <f>[1]Input_monitoring_data!BI159</f>
        <v>Pokukrom</v>
      </c>
      <c r="D163" s="22" t="str">
        <f>[1]Input_monitoring_data!P159</f>
        <v>7.124599288977343</v>
      </c>
      <c r="E163" s="22" t="str">
        <f>[1]Input_monitoring_data!Q159</f>
        <v>-2.3176632736550244</v>
      </c>
      <c r="F163" s="22" t="str">
        <f>[1]Input_monitoring_data!V159</f>
        <v>Just By The Roadside</v>
      </c>
      <c r="G163" s="23" t="str">
        <f>[1]Input_monitoring_data!U159</f>
        <v>Borehole</v>
      </c>
      <c r="H163" s="22">
        <f>[1]Input_monitoring_data!X159</f>
        <v>2014</v>
      </c>
      <c r="I163" s="21" t="str">
        <f>[1]Input_monitoring_data!AB159</f>
        <v>Borehole redevelopment</v>
      </c>
      <c r="J163" s="21">
        <f>[1]Input_monitoring_data!AC159</f>
        <v>0</v>
      </c>
      <c r="K163" s="23" t="str">
        <f>[1]Input_monitoring_data!W159</f>
        <v>AfriDev</v>
      </c>
      <c r="L163" s="22">
        <f>[1]Input_monitoring_data!X159</f>
        <v>2014</v>
      </c>
      <c r="M163" s="21" t="str">
        <f>IF([1]Input_monitoring_data!BL159&gt;'Point Sources_Asset_Register_'!L163,[1]Input_monitoring_data!BL159,"")</f>
        <v/>
      </c>
      <c r="N163" s="22" t="str">
        <f>[1]Input_monitoring_data!BQ159</f>
        <v>functional</v>
      </c>
      <c r="O163" s="22">
        <f>[1]Input_monitoring_data!AJ159</f>
        <v>0</v>
      </c>
      <c r="P163" s="23" t="s">
        <v>0</v>
      </c>
      <c r="Q163" s="22">
        <f>L163</f>
        <v>2014</v>
      </c>
      <c r="R163" s="21" t="str">
        <f>M163</f>
        <v/>
      </c>
      <c r="S163" s="20">
        <f>[1]Input_EUL_CRC_ERC!$B$17-Table1[[#This Row],[Year Installed_WL]]</f>
        <v>3</v>
      </c>
      <c r="T163" s="20">
        <f>[1]Input_EUL_CRC_ERC!$B$17-(IF(Table1[[#This Row],[Year Last_Rehab_WL ]]=0,Table1[[#This Row],[Year Installed_WL]],[1]Input_EUL_CRC_ERC!$B$17-Table1[[#This Row],[Year Last_Rehab_WL ]]))</f>
        <v>3</v>
      </c>
      <c r="U163" s="20">
        <f>(VLOOKUP(Table1[[#This Row],[Item_Rehab_WL]],[1]Input_EUL_CRC_ERC!$C$17:$E$27,2,FALSE)-Table1[[#This Row],[Last Rehab Age]])</f>
        <v>12</v>
      </c>
      <c r="V163" s="19">
        <f>[1]Input_EUL_CRC_ERC!$B$17-Table1[[#This Row],[Year Installed_HP]]</f>
        <v>3</v>
      </c>
      <c r="W163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63" s="19">
        <f>[1]Input_EUL_CRC_ERC!$B$17-Table1[[#This Row],[Year Installed_PF]]</f>
        <v>3</v>
      </c>
      <c r="Y163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63" s="25">
        <f>IF(Table1[[#This Row],[Years_Next_Rehab_Well]]&lt;=0,VLOOKUP(Table1[[#This Row],[Item_Rehab_WL]],[1]!Table2[#All],3,FALSE),0)</f>
        <v>0</v>
      </c>
      <c r="AA163" s="18">
        <f>IF(Table1[[#This Row],[Adjusted_ULife_HP]]&lt;=0,VLOOKUP(Table1[[#This Row],[Item_Handpump]],[1]!Table2[#All],3,FALSE),0)</f>
        <v>0</v>
      </c>
      <c r="AB163" s="18">
        <f>IF(Table1[[#This Row],[Adjusted_ULife_PF]]&lt;=0,VLOOKUP(Table1[[#This Row],[Item_Platform]],[1]!Table2[#All],3,FALSE),0)</f>
        <v>0</v>
      </c>
      <c r="AC163" s="18">
        <f>SUM(Table1[[#This Row],[current yr_wl]:[current yr_pf]])</f>
        <v>0</v>
      </c>
      <c r="AD163" s="25">
        <f>IF(Table1[[#This Row],[Years_Next_Rehab_Well]]=1,VLOOKUP(Table1[[#This Row],[Item_Rehab_WL]],[1]!Table2[#All],4,FALSE),0)</f>
        <v>0</v>
      </c>
      <c r="AE163" s="25">
        <f>IF(Table1[[#This Row],[Adjusted_ULife_HP]]=1,VLOOKUP(Table1[[#This Row],[Item_Handpump]],[1]!Table2[#All],4,FALSE),0)</f>
        <v>0</v>
      </c>
      <c r="AF163" s="25">
        <f>IF(Table1[[#This Row],[Adjusted_ULife_PF]]=1,VLOOKUP(Table1[[#This Row],[Item_Platform]],[1]!Table2[#All],4,FALSE),0)</f>
        <v>0</v>
      </c>
      <c r="AG163" s="25">
        <f>SUM(Table1[[#This Row],[yr 1_wl]:[yr 1_pf]])</f>
        <v>0</v>
      </c>
      <c r="AH163" s="25">
        <f>IF(Table1[[#This Row],[Years_Next_Rehab_Well]]=2,VLOOKUP(Table1[[#This Row],[Item_Rehab_WL]],[1]!Table2[#All],5,FALSE),0)</f>
        <v>0</v>
      </c>
      <c r="AI163" s="25">
        <f>IF(Table1[[#This Row],[Adjusted_ULife_HP]]=2,VLOOKUP(Table1[[#This Row],[Item_Handpump]],[1]!Table2[#All],5,FALSE),0)</f>
        <v>0</v>
      </c>
      <c r="AJ163" s="25">
        <f>IF(Table1[[#This Row],[Adjusted_ULife_PF]]=2,VLOOKUP(Table1[[#This Row],[Item_Platform]],[1]!Table2[#All],5,FALSE),0)</f>
        <v>0</v>
      </c>
      <c r="AK163" s="25">
        <f>SUM(Table1[[#This Row],[yr 2_wl]:[yr 2_pf]])</f>
        <v>0</v>
      </c>
      <c r="AL163" s="25">
        <f>IF(Table1[[#This Row],[Years_Next_Rehab_Well]]=3,VLOOKUP(Table1[[#This Row],[Item_Rehab_WL]],[1]!Table2[#All],6,FALSE),0)</f>
        <v>0</v>
      </c>
      <c r="AM163" s="25">
        <f>IF(Table1[[#This Row],[Adjusted_ULife_HP]]=3,VLOOKUP(Table1[[#This Row],[Item_Handpump]],[1]!Table2[#All],6,FALSE),0)</f>
        <v>0</v>
      </c>
      <c r="AN163" s="25">
        <f>IF(Table1[[#This Row],[Adjusted_ULife_PF]]=3,VLOOKUP(Table1[[#This Row],[Item_Platform]],[1]!Table2[#All],6,FALSE),0)</f>
        <v>0</v>
      </c>
      <c r="AO163" s="25">
        <f>SUM(Table1[[#This Row],[yr 3_wl]:[yr 3_pf]])</f>
        <v>0</v>
      </c>
      <c r="AP163" s="25">
        <f>IF(Table1[[#This Row],[Years_Next_Rehab_Well]]=4,VLOOKUP(Table1[[#This Row],[Item_Rehab_WL]],[1]!Table2[#All],7,FALSE),0)</f>
        <v>0</v>
      </c>
      <c r="AQ163" s="25">
        <f>IF(Table1[[#This Row],[Adjusted_ULife_HP]]=4,VLOOKUP(Table1[[#This Row],[Item_Handpump]],[1]!Table2[#All],7,FALSE),0)</f>
        <v>0</v>
      </c>
      <c r="AR163" s="25">
        <f>IF(Table1[[#This Row],[Adjusted_ULife_PF]]=4,VLOOKUP(Table1[[#This Row],[Item_Platform]],[1]!Table2[#All],7,FALSE),0)</f>
        <v>0</v>
      </c>
      <c r="AS163" s="25">
        <f>SUM(Table1[[#This Row],[yr 4_wl]:[yr 4_pf]])</f>
        <v>0</v>
      </c>
      <c r="AT163" s="25">
        <f>IF(Table1[[#This Row],[Years_Next_Rehab_Well]]=5,VLOOKUP(Table1[[#This Row],[Item_Rehab_WL]],[1]!Table2[#All],8,FALSE),0)</f>
        <v>0</v>
      </c>
      <c r="AU163" s="25">
        <f>IF(Table1[[#This Row],[Adjusted_ULife_HP]]=5,VLOOKUP(Table1[[#This Row],[Item_Handpump]],[1]!Table2[#All],8,FALSE),0)</f>
        <v>0</v>
      </c>
      <c r="AV163" s="25">
        <f>IF(Table1[[#This Row],[Adjusted_ULife_PF]]=5,VLOOKUP(Table1[[#This Row],[Item_Platform]],[1]!Table2[#All],8,FALSE),0)</f>
        <v>0</v>
      </c>
      <c r="AW163" s="25">
        <f>SUM(Table1[[#This Row],[yr 5_wl]:[yr 5_pf]])</f>
        <v>0</v>
      </c>
      <c r="AX163" s="25">
        <f>IF(Table1[[#This Row],[Years_Next_Rehab_Well]]=6,VLOOKUP(Table1[[#This Row],[Item_Rehab_WL]],[1]!Table2[#All],9,FALSE),0)</f>
        <v>0</v>
      </c>
      <c r="AY163" s="25">
        <f>IF(Table1[[#This Row],[Adjusted_ULife_HP]]=6,VLOOKUP(Table1[[#This Row],[Item_Handpump]],[1]!Table2[#All],9,FALSE),0)</f>
        <v>0</v>
      </c>
      <c r="AZ163" s="25">
        <f>IF(Table1[[#This Row],[Adjusted_ULife_PF]]=6,VLOOKUP(Table1[[#This Row],[Item_Platform]],[1]!Table2[#All],9,FALSE),0)</f>
        <v>0</v>
      </c>
      <c r="BA163" s="25">
        <f>SUM(Table1[[#This Row],[yr 6_wl]:[yr 6_pf]])</f>
        <v>0</v>
      </c>
      <c r="BB163" s="25">
        <f>IF(Table1[[#This Row],[Years_Next_Rehab_Well]]=7,VLOOKUP(Table1[[#This Row],[Item_Rehab_WL]],[1]!Table2[#All],10,FALSE),0)</f>
        <v>0</v>
      </c>
      <c r="BC163" s="25">
        <f>IF(Table1[[#This Row],[Adjusted_ULife_HP]]=7,VLOOKUP(Table1[[#This Row],[Item_Handpump]],[1]!Table2[#All],10,FALSE),0)</f>
        <v>0</v>
      </c>
      <c r="BD163" s="25">
        <f>IF(Table1[[#This Row],[Adjusted_ULife_PF]]=7,VLOOKUP(Table1[[#This Row],[Item_Platform]],[1]!Table2[#All],10,FALSE),0)</f>
        <v>3316.0221111091228</v>
      </c>
      <c r="BE163" s="25">
        <f>SUM(Table1[[#This Row],[yr 7_wl]:[yr 7_pf]])</f>
        <v>3316.0221111091228</v>
      </c>
      <c r="BF163" s="25">
        <f>IF(Table1[[#This Row],[Years_Next_Rehab_Well]]=8,VLOOKUP(Table1[[#This Row],[Item_Rehab_WL]],[1]!Table2[#All],11,FALSE),0)</f>
        <v>0</v>
      </c>
      <c r="BG163" s="25">
        <f>IF(Table1[[#This Row],[Adjusted_ULife_HP]]=8,VLOOKUP(Table1[[#This Row],[Item_Handpump]],[1]!Table2[#All],11,FALSE),0)</f>
        <v>0</v>
      </c>
      <c r="BH163" s="25">
        <f>IF(Table1[[#This Row],[Adjusted_ULife_PF]]=8,VLOOKUP(Table1[[#This Row],[Item_Platform]],[1]!Table2[#All],11,FALSE),0)</f>
        <v>0</v>
      </c>
      <c r="BI163" s="25">
        <f>SUM(Table1[[#This Row],[yr 8_wl]:[yr 8_pf]])</f>
        <v>0</v>
      </c>
      <c r="BJ163" s="25">
        <f>IF(Table1[[#This Row],[Years_Next_Rehab_Well]]=9,VLOOKUP(Table1[[#This Row],[Item_Rehab_WL]],[1]!Table2[#All],12,FALSE),0)</f>
        <v>0</v>
      </c>
      <c r="BK163" s="25">
        <f>IF(Table1[[#This Row],[Adjusted_ULife_HP]]=9,VLOOKUP(Table1[[#This Row],[Item_Handpump]],[1]!Table2[#All],12,FALSE),0)</f>
        <v>0</v>
      </c>
      <c r="BL163" s="25">
        <f>IF(Table1[[#This Row],[Adjusted_ULife_PF]]=9,VLOOKUP(Table1[[#This Row],[Item_Platform]],[1]!Table2[#All],12,FALSE),0)</f>
        <v>0</v>
      </c>
      <c r="BM163" s="25">
        <f>SUM(Table1[[#This Row],[yr 9_wl]:[yr 9_pf]])</f>
        <v>0</v>
      </c>
      <c r="BN163" s="25">
        <f>IF(Table1[[#This Row],[Years_Next_Rehab_Well]]=10,VLOOKUP(Table1[[#This Row],[Item_Rehab_WL]],[1]!Table2[#All],13,FALSE),0)</f>
        <v>0</v>
      </c>
      <c r="BO163" s="25">
        <f>IF(Table1[[#This Row],[Adjusted_ULife_HP]]=10,VLOOKUP(Table1[[#This Row],[Item_Handpump]],[1]!Table2[#All],13,FALSE),0)</f>
        <v>0</v>
      </c>
      <c r="BP163" s="25">
        <f>IF(Table1[[#This Row],[Adjusted_ULife_PF]]=10,VLOOKUP(Table1[[#This Row],[Item_Platform]],[1]!Table2[#All],13,FALSE),0)</f>
        <v>0</v>
      </c>
      <c r="BQ163" s="25">
        <f>SUM(Table1[[#This Row],[yr 10_wl]:[yr 10_pf]])</f>
        <v>0</v>
      </c>
      <c r="BR163" s="25">
        <f>IF(Table1[[#This Row],[Years_Next_Rehab_Well]]=11,VLOOKUP(Table1[[#This Row],[Item_Rehab_WL]],[1]!Table2[#All],14,FALSE),0)</f>
        <v>0</v>
      </c>
      <c r="BS163" s="25">
        <f>IF(Table1[[#This Row],[Adjusted_ULife_HP]]=11,VLOOKUP(Table1[[#This Row],[Item_Handpump]],[1]!Table2[#All],14,FALSE),0)</f>
        <v>0</v>
      </c>
      <c r="BT163" s="25">
        <f>IF(Table1[[#This Row],[Adjusted_ULife_PF]]=11,VLOOKUP(Table1[[#This Row],[Item_Platform]],[1]!Table2[#All],14,FALSE),0)</f>
        <v>0</v>
      </c>
      <c r="BU163" s="25">
        <f>SUM(Table1[[#This Row],[yr 11_wl]:[yr 11_pf]])</f>
        <v>0</v>
      </c>
      <c r="BV163" s="25">
        <f>IF(Table1[[#This Row],[Years_Next_Rehab_Well]]=12,VLOOKUP(Table1[[#This Row],[Item_Rehab_WL]],[1]!Table2[#All],15,FALSE),0)</f>
        <v>14285.245306005596</v>
      </c>
      <c r="BW163" s="25">
        <f>IF(Table1[[#This Row],[Adjusted_ULife_HP]]=12,VLOOKUP(Table1[[#This Row],[Item_Handpump]],[1]!Table2[#All],15,FALSE),0)</f>
        <v>0</v>
      </c>
      <c r="BX163" s="25">
        <f>IF(Table1[[#This Row],[Adjusted_ULife_PF]]=12,VLOOKUP(Table1[[#This Row],[Item_Platform]],[1]!Table2[#All],15,FALSE),0)</f>
        <v>0</v>
      </c>
      <c r="BY163" s="25">
        <f>SUM(Table1[[#This Row],[yr 12_wl]:[yr 12_pf]])</f>
        <v>14285.245306005596</v>
      </c>
      <c r="BZ163" s="25">
        <f>IF(Table1[[#This Row],[Years_Next_Rehab_Well]]=13,VLOOKUP(Table1[[#This Row],[Item_Rehab_WL]],[1]!Table2[#All],16,FALSE),0)</f>
        <v>0</v>
      </c>
      <c r="CA163" s="25">
        <f>IF(Table1[[#This Row],[Adjusted_ULife_HP]]=13,VLOOKUP(Table1[[#This Row],[Item_Handpump]],[1]!Table2[#All],16,FALSE),0)</f>
        <v>0</v>
      </c>
      <c r="CB163" s="25">
        <f>IF(Table1[[#This Row],[Adjusted_ULife_PF]]=13,VLOOKUP(Table1[[#This Row],[Item_Platform]],[1]!Table2[#All],16,FALSE),0)</f>
        <v>0</v>
      </c>
      <c r="CC163" s="25">
        <f>SUM(Table1[[#This Row],[yr 13_wl]:[yr 13_pf]])</f>
        <v>0</v>
      </c>
      <c r="CD163" s="12"/>
    </row>
    <row r="164" spans="1:82" s="11" customFormat="1" x14ac:dyDescent="0.25">
      <c r="A164" s="11" t="str">
        <f>IF([1]Input_monitoring_data!A160="","",[1]Input_monitoring_data!A160)</f>
        <v>w8m7-35gy-kyc8</v>
      </c>
      <c r="B164" s="22" t="str">
        <f>[1]Input_monitoring_data!BH160</f>
        <v>Goamu</v>
      </c>
      <c r="C164" s="22" t="str">
        <f>[1]Input_monitoring_data!BI160</f>
        <v>Kensere</v>
      </c>
      <c r="D164" s="22" t="str">
        <f>[1]Input_monitoring_data!P160</f>
        <v>6.991774620265862</v>
      </c>
      <c r="E164" s="22" t="str">
        <f>[1]Input_monitoring_data!Q160</f>
        <v>-2.5365225442085073</v>
      </c>
      <c r="F164" s="22" t="str">
        <f>[1]Input_monitoring_data!V160</f>
        <v>Close To The Roman Catholic Church</v>
      </c>
      <c r="G164" s="23" t="str">
        <f>[1]Input_monitoring_data!U160</f>
        <v>Borehole</v>
      </c>
      <c r="H164" s="22">
        <f>[1]Input_monitoring_data!X160</f>
        <v>1987</v>
      </c>
      <c r="I164" s="21" t="str">
        <f>[1]Input_monitoring_data!AB160</f>
        <v>Borehole redevelopment</v>
      </c>
      <c r="J164" s="21">
        <f>[1]Input_monitoring_data!AC160</f>
        <v>0</v>
      </c>
      <c r="K164" s="23" t="str">
        <f>[1]Input_monitoring_data!W160</f>
        <v>AfriDev</v>
      </c>
      <c r="L164" s="22">
        <f>[1]Input_monitoring_data!X160</f>
        <v>1987</v>
      </c>
      <c r="M164" s="21">
        <f>IF([1]Input_monitoring_data!BL160&gt;'Point Sources_Asset_Register_'!L164,[1]Input_monitoring_data!BL160,"")</f>
        <v>2014</v>
      </c>
      <c r="N164" s="22" t="str">
        <f>[1]Input_monitoring_data!BQ160</f>
        <v>functional</v>
      </c>
      <c r="O164" s="22">
        <f>[1]Input_monitoring_data!AJ160</f>
        <v>0</v>
      </c>
      <c r="P164" s="23" t="s">
        <v>0</v>
      </c>
      <c r="Q164" s="22">
        <f>L164</f>
        <v>1987</v>
      </c>
      <c r="R164" s="21">
        <f>M164</f>
        <v>2014</v>
      </c>
      <c r="S164" s="20">
        <f>[1]Input_EUL_CRC_ERC!$B$17-Table1[[#This Row],[Year Installed_WL]]</f>
        <v>30</v>
      </c>
      <c r="T164" s="20">
        <f>[1]Input_EUL_CRC_ERC!$B$17-(IF(Table1[[#This Row],[Year Last_Rehab_WL ]]=0,Table1[[#This Row],[Year Installed_WL]],[1]Input_EUL_CRC_ERC!$B$17-Table1[[#This Row],[Year Last_Rehab_WL ]]))</f>
        <v>30</v>
      </c>
      <c r="U164" s="20">
        <f>(VLOOKUP(Table1[[#This Row],[Item_Rehab_WL]],[1]Input_EUL_CRC_ERC!$C$17:$E$27,2,FALSE)-Table1[[#This Row],[Last Rehab Age]])</f>
        <v>-15</v>
      </c>
      <c r="V164" s="26">
        <f>[1]Input_EUL_CRC_ERC!$B$17-Table1[[#This Row],[Year Installed_HP]]</f>
        <v>30</v>
      </c>
      <c r="W164" s="26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64" s="26">
        <f>[1]Input_EUL_CRC_ERC!$B$17-Table1[[#This Row],[Year Installed_PF]]</f>
        <v>30</v>
      </c>
      <c r="Y164" s="26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64" s="25">
        <f>IF(Table1[[#This Row],[Years_Next_Rehab_Well]]&lt;=0,VLOOKUP(Table1[[#This Row],[Item_Rehab_WL]],[1]!Table2[#All],3,FALSE),0)</f>
        <v>3666.6666666666665</v>
      </c>
      <c r="AA164" s="25">
        <f>IF(Table1[[#This Row],[Adjusted_ULife_HP]]&lt;=0,VLOOKUP(Table1[[#This Row],[Item_Handpump]],[1]!Table2[#All],3,FALSE),0)</f>
        <v>0</v>
      </c>
      <c r="AB164" s="25">
        <f>IF(Table1[[#This Row],[Adjusted_ULife_PF]]&lt;=0,VLOOKUP(Table1[[#This Row],[Item_Platform]],[1]!Table2[#All],3,FALSE),0)</f>
        <v>0</v>
      </c>
      <c r="AC164" s="25">
        <f>SUM(Table1[[#This Row],[current yr_wl]:[current yr_pf]])</f>
        <v>3666.6666666666665</v>
      </c>
      <c r="AD164" s="25">
        <f>IF(Table1[[#This Row],[Years_Next_Rehab_Well]]=1,VLOOKUP(Table1[[#This Row],[Item_Rehab_WL]],[1]!Table2[#All],4,FALSE),0)</f>
        <v>0</v>
      </c>
      <c r="AE164" s="25">
        <f>IF(Table1[[#This Row],[Adjusted_ULife_HP]]=1,VLOOKUP(Table1[[#This Row],[Item_Handpump]],[1]!Table2[#All],4,FALSE),0)</f>
        <v>0</v>
      </c>
      <c r="AF164" s="25">
        <f>IF(Table1[[#This Row],[Adjusted_ULife_PF]]=1,VLOOKUP(Table1[[#This Row],[Item_Platform]],[1]!Table2[#All],4,FALSE),0)</f>
        <v>0</v>
      </c>
      <c r="AG164" s="25">
        <f>SUM(Table1[[#This Row],[yr 1_wl]:[yr 1_pf]])</f>
        <v>0</v>
      </c>
      <c r="AH164" s="25">
        <f>IF(Table1[[#This Row],[Years_Next_Rehab_Well]]=2,VLOOKUP(Table1[[#This Row],[Item_Rehab_WL]],[1]!Table2[#All],5,FALSE),0)</f>
        <v>0</v>
      </c>
      <c r="AI164" s="25">
        <f>IF(Table1[[#This Row],[Adjusted_ULife_HP]]=2,VLOOKUP(Table1[[#This Row],[Item_Handpump]],[1]!Table2[#All],5,FALSE),0)</f>
        <v>0</v>
      </c>
      <c r="AJ164" s="25">
        <f>IF(Table1[[#This Row],[Adjusted_ULife_PF]]=2,VLOOKUP(Table1[[#This Row],[Item_Platform]],[1]!Table2[#All],5,FALSE),0)</f>
        <v>0</v>
      </c>
      <c r="AK164" s="25">
        <f>SUM(Table1[[#This Row],[yr 2_wl]:[yr 2_pf]])</f>
        <v>0</v>
      </c>
      <c r="AL164" s="25">
        <f>IF(Table1[[#This Row],[Years_Next_Rehab_Well]]=3,VLOOKUP(Table1[[#This Row],[Item_Rehab_WL]],[1]!Table2[#All],6,FALSE),0)</f>
        <v>0</v>
      </c>
      <c r="AM164" s="25">
        <f>IF(Table1[[#This Row],[Adjusted_ULife_HP]]=3,VLOOKUP(Table1[[#This Row],[Item_Handpump]],[1]!Table2[#All],6,FALSE),0)</f>
        <v>0</v>
      </c>
      <c r="AN164" s="25">
        <f>IF(Table1[[#This Row],[Adjusted_ULife_PF]]=3,VLOOKUP(Table1[[#This Row],[Item_Platform]],[1]!Table2[#All],6,FALSE),0)</f>
        <v>0</v>
      </c>
      <c r="AO164" s="25">
        <f>SUM(Table1[[#This Row],[yr 3_wl]:[yr 3_pf]])</f>
        <v>0</v>
      </c>
      <c r="AP164" s="25">
        <f>IF(Table1[[#This Row],[Years_Next_Rehab_Well]]=4,VLOOKUP(Table1[[#This Row],[Item_Rehab_WL]],[1]!Table2[#All],7,FALSE),0)</f>
        <v>0</v>
      </c>
      <c r="AQ164" s="25">
        <f>IF(Table1[[#This Row],[Adjusted_ULife_HP]]=4,VLOOKUP(Table1[[#This Row],[Item_Handpump]],[1]!Table2[#All],7,FALSE),0)</f>
        <v>0</v>
      </c>
      <c r="AR164" s="25">
        <f>IF(Table1[[#This Row],[Adjusted_ULife_PF]]=4,VLOOKUP(Table1[[#This Row],[Item_Platform]],[1]!Table2[#All],7,FALSE),0)</f>
        <v>0</v>
      </c>
      <c r="AS164" s="25">
        <f>SUM(Table1[[#This Row],[yr 4_wl]:[yr 4_pf]])</f>
        <v>0</v>
      </c>
      <c r="AT164" s="25">
        <f>IF(Table1[[#This Row],[Years_Next_Rehab_Well]]=5,VLOOKUP(Table1[[#This Row],[Item_Rehab_WL]],[1]!Table2[#All],8,FALSE),0)</f>
        <v>0</v>
      </c>
      <c r="AU164" s="25">
        <f>IF(Table1[[#This Row],[Adjusted_ULife_HP]]=5,VLOOKUP(Table1[[#This Row],[Item_Handpump]],[1]!Table2[#All],8,FALSE),0)</f>
        <v>0</v>
      </c>
      <c r="AV164" s="25">
        <f>IF(Table1[[#This Row],[Adjusted_ULife_PF]]=5,VLOOKUP(Table1[[#This Row],[Item_Platform]],[1]!Table2[#All],8,FALSE),0)</f>
        <v>0</v>
      </c>
      <c r="AW164" s="25">
        <f>SUM(Table1[[#This Row],[yr 5_wl]:[yr 5_pf]])</f>
        <v>0</v>
      </c>
      <c r="AX164" s="25">
        <f>IF(Table1[[#This Row],[Years_Next_Rehab_Well]]=6,VLOOKUP(Table1[[#This Row],[Item_Rehab_WL]],[1]!Table2[#All],9,FALSE),0)</f>
        <v>0</v>
      </c>
      <c r="AY164" s="25">
        <f>IF(Table1[[#This Row],[Adjusted_ULife_HP]]=6,VLOOKUP(Table1[[#This Row],[Item_Handpump]],[1]!Table2[#All],9,FALSE),0)</f>
        <v>0</v>
      </c>
      <c r="AZ164" s="25">
        <f>IF(Table1[[#This Row],[Adjusted_ULife_PF]]=6,VLOOKUP(Table1[[#This Row],[Item_Platform]],[1]!Table2[#All],9,FALSE),0)</f>
        <v>0</v>
      </c>
      <c r="BA164" s="25">
        <f>SUM(Table1[[#This Row],[yr 6_wl]:[yr 6_pf]])</f>
        <v>0</v>
      </c>
      <c r="BB164" s="25">
        <f>IF(Table1[[#This Row],[Years_Next_Rehab_Well]]=7,VLOOKUP(Table1[[#This Row],[Item_Rehab_WL]],[1]!Table2[#All],10,FALSE),0)</f>
        <v>0</v>
      </c>
      <c r="BC164" s="25">
        <f>IF(Table1[[#This Row],[Adjusted_ULife_HP]]=7,VLOOKUP(Table1[[#This Row],[Item_Handpump]],[1]!Table2[#All],10,FALSE),0)</f>
        <v>0</v>
      </c>
      <c r="BD164" s="25">
        <f>IF(Table1[[#This Row],[Adjusted_ULife_PF]]=7,VLOOKUP(Table1[[#This Row],[Item_Platform]],[1]!Table2[#All],10,FALSE),0)</f>
        <v>3316.0221111091228</v>
      </c>
      <c r="BE164" s="25">
        <f>SUM(Table1[[#This Row],[yr 7_wl]:[yr 7_pf]])</f>
        <v>3316.0221111091228</v>
      </c>
      <c r="BF164" s="25">
        <f>IF(Table1[[#This Row],[Years_Next_Rehab_Well]]=8,VLOOKUP(Table1[[#This Row],[Item_Rehab_WL]],[1]!Table2[#All],11,FALSE),0)</f>
        <v>0</v>
      </c>
      <c r="BG164" s="25">
        <f>IF(Table1[[#This Row],[Adjusted_ULife_HP]]=8,VLOOKUP(Table1[[#This Row],[Item_Handpump]],[1]!Table2[#All],11,FALSE),0)</f>
        <v>0</v>
      </c>
      <c r="BH164" s="25">
        <f>IF(Table1[[#This Row],[Adjusted_ULife_PF]]=8,VLOOKUP(Table1[[#This Row],[Item_Platform]],[1]!Table2[#All],11,FALSE),0)</f>
        <v>0</v>
      </c>
      <c r="BI164" s="25">
        <f>SUM(Table1[[#This Row],[yr 8_wl]:[yr 8_pf]])</f>
        <v>0</v>
      </c>
      <c r="BJ164" s="25">
        <f>IF(Table1[[#This Row],[Years_Next_Rehab_Well]]=9,VLOOKUP(Table1[[#This Row],[Item_Rehab_WL]],[1]!Table2[#All],12,FALSE),0)</f>
        <v>0</v>
      </c>
      <c r="BK164" s="25">
        <f>IF(Table1[[#This Row],[Adjusted_ULife_HP]]=9,VLOOKUP(Table1[[#This Row],[Item_Handpump]],[1]!Table2[#All],12,FALSE),0)</f>
        <v>0</v>
      </c>
      <c r="BL164" s="25">
        <f>IF(Table1[[#This Row],[Adjusted_ULife_PF]]=9,VLOOKUP(Table1[[#This Row],[Item_Platform]],[1]!Table2[#All],12,FALSE),0)</f>
        <v>0</v>
      </c>
      <c r="BM164" s="25">
        <f>SUM(Table1[[#This Row],[yr 9_wl]:[yr 9_pf]])</f>
        <v>0</v>
      </c>
      <c r="BN164" s="25">
        <f>IF(Table1[[#This Row],[Years_Next_Rehab_Well]]=10,VLOOKUP(Table1[[#This Row],[Item_Rehab_WL]],[1]!Table2[#All],13,FALSE),0)</f>
        <v>0</v>
      </c>
      <c r="BO164" s="25">
        <f>IF(Table1[[#This Row],[Adjusted_ULife_HP]]=10,VLOOKUP(Table1[[#This Row],[Item_Handpump]],[1]!Table2[#All],13,FALSE),0)</f>
        <v>0</v>
      </c>
      <c r="BP164" s="25">
        <f>IF(Table1[[#This Row],[Adjusted_ULife_PF]]=10,VLOOKUP(Table1[[#This Row],[Item_Platform]],[1]!Table2[#All],13,FALSE),0)</f>
        <v>0</v>
      </c>
      <c r="BQ164" s="25">
        <f>SUM(Table1[[#This Row],[yr 10_wl]:[yr 10_pf]])</f>
        <v>0</v>
      </c>
      <c r="BR164" s="25">
        <f>IF(Table1[[#This Row],[Years_Next_Rehab_Well]]=11,VLOOKUP(Table1[[#This Row],[Item_Rehab_WL]],[1]!Table2[#All],14,FALSE),0)</f>
        <v>0</v>
      </c>
      <c r="BS164" s="25">
        <f>IF(Table1[[#This Row],[Adjusted_ULife_HP]]=11,VLOOKUP(Table1[[#This Row],[Item_Handpump]],[1]!Table2[#All],14,FALSE),0)</f>
        <v>0</v>
      </c>
      <c r="BT164" s="25">
        <f>IF(Table1[[#This Row],[Adjusted_ULife_PF]]=11,VLOOKUP(Table1[[#This Row],[Item_Platform]],[1]!Table2[#All],14,FALSE),0)</f>
        <v>0</v>
      </c>
      <c r="BU164" s="25">
        <f>SUM(Table1[[#This Row],[yr 11_wl]:[yr 11_pf]])</f>
        <v>0</v>
      </c>
      <c r="BV164" s="25">
        <f>IF(Table1[[#This Row],[Years_Next_Rehab_Well]]=12,VLOOKUP(Table1[[#This Row],[Item_Rehab_WL]],[1]!Table2[#All],15,FALSE),0)</f>
        <v>0</v>
      </c>
      <c r="BW164" s="25">
        <f>IF(Table1[[#This Row],[Adjusted_ULife_HP]]=12,VLOOKUP(Table1[[#This Row],[Item_Handpump]],[1]!Table2[#All],15,FALSE),0)</f>
        <v>0</v>
      </c>
      <c r="BX164" s="25">
        <f>IF(Table1[[#This Row],[Adjusted_ULife_PF]]=12,VLOOKUP(Table1[[#This Row],[Item_Platform]],[1]!Table2[#All],15,FALSE),0)</f>
        <v>0</v>
      </c>
      <c r="BY164" s="25">
        <f>SUM(Table1[[#This Row],[yr 12_wl]:[yr 12_pf]])</f>
        <v>0</v>
      </c>
      <c r="BZ164" s="25">
        <f>IF(Table1[[#This Row],[Years_Next_Rehab_Well]]=13,VLOOKUP(Table1[[#This Row],[Item_Rehab_WL]],[1]!Table2[#All],16,FALSE),0)</f>
        <v>0</v>
      </c>
      <c r="CA164" s="25">
        <f>IF(Table1[[#This Row],[Adjusted_ULife_HP]]=13,VLOOKUP(Table1[[#This Row],[Item_Handpump]],[1]!Table2[#All],16,FALSE),0)</f>
        <v>0</v>
      </c>
      <c r="CB164" s="25">
        <f>IF(Table1[[#This Row],[Adjusted_ULife_PF]]=13,VLOOKUP(Table1[[#This Row],[Item_Platform]],[1]!Table2[#All],16,FALSE),0)</f>
        <v>0</v>
      </c>
      <c r="CC164" s="25">
        <f>SUM(Table1[[#This Row],[yr 13_wl]:[yr 13_pf]])</f>
        <v>0</v>
      </c>
      <c r="CD164" s="12"/>
    </row>
    <row r="165" spans="1:82" s="11" customFormat="1" x14ac:dyDescent="0.25">
      <c r="A165" s="11" t="str">
        <f>IF([1]Input_monitoring_data!A161="","",[1]Input_monitoring_data!A161)</f>
        <v>w9eh-sb4x-bnrf</v>
      </c>
      <c r="B165" s="22" t="str">
        <f>[1]Input_monitoring_data!BH161</f>
        <v>GOAMU</v>
      </c>
      <c r="C165" s="22" t="str">
        <f>[1]Input_monitoring_data!BI161</f>
        <v>DAHAMANO</v>
      </c>
      <c r="D165" s="22" t="str">
        <f>[1]Input_monitoring_data!P161</f>
        <v>7.020415042203567</v>
      </c>
      <c r="E165" s="22" t="str">
        <f>[1]Input_monitoring_data!Q161</f>
        <v>-2.5218683398175075</v>
      </c>
      <c r="F165" s="22" t="str">
        <f>[1]Input_monitoring_data!V161</f>
        <v>along kensere Goamu road</v>
      </c>
      <c r="G165" s="23" t="str">
        <f>[1]Input_monitoring_data!U161</f>
        <v>Borehole</v>
      </c>
      <c r="H165" s="22">
        <f>[1]Input_monitoring_data!X161</f>
        <v>2008</v>
      </c>
      <c r="I165" s="21" t="str">
        <f>[1]Input_monitoring_data!AB161</f>
        <v>Borehole redevelopment</v>
      </c>
      <c r="J165" s="21">
        <f>[1]Input_monitoring_data!AC161</f>
        <v>0</v>
      </c>
      <c r="K165" s="23" t="str">
        <f>[1]Input_monitoring_data!W161</f>
        <v>Nira AF-85</v>
      </c>
      <c r="L165" s="22">
        <f>[1]Input_monitoring_data!X161</f>
        <v>2008</v>
      </c>
      <c r="M165" s="21">
        <f>IF([1]Input_monitoring_data!BL161&gt;'Point Sources_Asset_Register_'!L165,[1]Input_monitoring_data!BL161,"")</f>
        <v>2012</v>
      </c>
      <c r="N165" s="22" t="str">
        <f>[1]Input_monitoring_data!BQ161</f>
        <v>not functional</v>
      </c>
      <c r="O165" s="22" t="str">
        <f>[1]Input_monitoring_data!AJ161</f>
        <v>Handpump broken</v>
      </c>
      <c r="P165" s="23" t="s">
        <v>0</v>
      </c>
      <c r="Q165" s="22">
        <f>L165</f>
        <v>2008</v>
      </c>
      <c r="R165" s="21">
        <f>M165</f>
        <v>2012</v>
      </c>
      <c r="S165" s="20">
        <f>[1]Input_EUL_CRC_ERC!$B$17-Table1[[#This Row],[Year Installed_WL]]</f>
        <v>9</v>
      </c>
      <c r="T165" s="20">
        <f>[1]Input_EUL_CRC_ERC!$B$17-(IF(Table1[[#This Row],[Year Last_Rehab_WL ]]=0,Table1[[#This Row],[Year Installed_WL]],[1]Input_EUL_CRC_ERC!$B$17-Table1[[#This Row],[Year Last_Rehab_WL ]]))</f>
        <v>9</v>
      </c>
      <c r="U165" s="20">
        <f>(VLOOKUP(Table1[[#This Row],[Item_Rehab_WL]],[1]Input_EUL_CRC_ERC!$C$17:$E$27,2,FALSE)-Table1[[#This Row],[Last Rehab Age]])</f>
        <v>6</v>
      </c>
      <c r="V165" s="26">
        <f>[1]Input_EUL_CRC_ERC!$B$17-Table1[[#This Row],[Year Installed_HP]]</f>
        <v>9</v>
      </c>
      <c r="W165" s="26">
        <f>(VLOOKUP(Table1[[#This Row],[Item_Handpump]],[1]!Table2[#All],2,FALSE))-(IF(Table1[[#This Row],[Year Last_Rehab_HP]]="",Table1[[#This Row],[Current Age_Handpump]],[1]Input_EUL_CRC_ERC!$B$17-Table1[[#This Row],[Year Last_Rehab_HP]]))</f>
        <v>15</v>
      </c>
      <c r="X165" s="26">
        <f>[1]Input_EUL_CRC_ERC!$B$17-Table1[[#This Row],[Year Installed_PF]]</f>
        <v>9</v>
      </c>
      <c r="Y165" s="26">
        <f>(VLOOKUP(Table1[[#This Row],[Item_Platform]],[1]!Table2[#All],2,FALSE))-(IF(Table1[[#This Row],[Year Last_Rehab_PF]]="",Table1[[#This Row],[Current Age_Platform]],[1]Input_EUL_CRC_ERC!$B$17-Table1[[#This Row],[Year Last_Rehab_PF]]))</f>
        <v>5</v>
      </c>
      <c r="Z165" s="25">
        <f>IF(Table1[[#This Row],[Years_Next_Rehab_Well]]&lt;=0,VLOOKUP(Table1[[#This Row],[Item_Rehab_WL]],[1]!Table2[#All],3,FALSE),0)</f>
        <v>0</v>
      </c>
      <c r="AA165" s="25">
        <f>IF(Table1[[#This Row],[Adjusted_ULife_HP]]&lt;=0,VLOOKUP(Table1[[#This Row],[Item_Handpump]],[1]!Table2[#All],3,FALSE),0)</f>
        <v>0</v>
      </c>
      <c r="AB165" s="25">
        <f>IF(Table1[[#This Row],[Adjusted_ULife_PF]]&lt;=0,VLOOKUP(Table1[[#This Row],[Item_Platform]],[1]!Table2[#All],3,FALSE),0)</f>
        <v>0</v>
      </c>
      <c r="AC165" s="25">
        <f>SUM(Table1[[#This Row],[current yr_wl]:[current yr_pf]])</f>
        <v>0</v>
      </c>
      <c r="AD165" s="25">
        <f>IF(Table1[[#This Row],[Years_Next_Rehab_Well]]=1,VLOOKUP(Table1[[#This Row],[Item_Rehab_WL]],[1]!Table2[#All],4,FALSE),0)</f>
        <v>0</v>
      </c>
      <c r="AE165" s="25">
        <f>IF(Table1[[#This Row],[Adjusted_ULife_HP]]=1,VLOOKUP(Table1[[#This Row],[Item_Handpump]],[1]!Table2[#All],4,FALSE),0)</f>
        <v>0</v>
      </c>
      <c r="AF165" s="25">
        <f>IF(Table1[[#This Row],[Adjusted_ULife_PF]]=1,VLOOKUP(Table1[[#This Row],[Item_Platform]],[1]!Table2[#All],4,FALSE),0)</f>
        <v>0</v>
      </c>
      <c r="AG165" s="25">
        <f>SUM(Table1[[#This Row],[yr 1_wl]:[yr 1_pf]])</f>
        <v>0</v>
      </c>
      <c r="AH165" s="25">
        <f>IF(Table1[[#This Row],[Years_Next_Rehab_Well]]=2,VLOOKUP(Table1[[#This Row],[Item_Rehab_WL]],[1]!Table2[#All],5,FALSE),0)</f>
        <v>0</v>
      </c>
      <c r="AI165" s="25">
        <f>IF(Table1[[#This Row],[Adjusted_ULife_HP]]=2,VLOOKUP(Table1[[#This Row],[Item_Handpump]],[1]!Table2[#All],5,FALSE),0)</f>
        <v>0</v>
      </c>
      <c r="AJ165" s="25">
        <f>IF(Table1[[#This Row],[Adjusted_ULife_PF]]=2,VLOOKUP(Table1[[#This Row],[Item_Platform]],[1]!Table2[#All],5,FALSE),0)</f>
        <v>0</v>
      </c>
      <c r="AK165" s="25">
        <f>SUM(Table1[[#This Row],[yr 2_wl]:[yr 2_pf]])</f>
        <v>0</v>
      </c>
      <c r="AL165" s="25">
        <f>IF(Table1[[#This Row],[Years_Next_Rehab_Well]]=3,VLOOKUP(Table1[[#This Row],[Item_Rehab_WL]],[1]!Table2[#All],6,FALSE),0)</f>
        <v>0</v>
      </c>
      <c r="AM165" s="25">
        <f>IF(Table1[[#This Row],[Adjusted_ULife_HP]]=3,VLOOKUP(Table1[[#This Row],[Item_Handpump]],[1]!Table2[#All],6,FALSE),0)</f>
        <v>0</v>
      </c>
      <c r="AN165" s="25">
        <f>IF(Table1[[#This Row],[Adjusted_ULife_PF]]=3,VLOOKUP(Table1[[#This Row],[Item_Platform]],[1]!Table2[#All],6,FALSE),0)</f>
        <v>0</v>
      </c>
      <c r="AO165" s="25">
        <f>SUM(Table1[[#This Row],[yr 3_wl]:[yr 3_pf]])</f>
        <v>0</v>
      </c>
      <c r="AP165" s="25">
        <f>IF(Table1[[#This Row],[Years_Next_Rehab_Well]]=4,VLOOKUP(Table1[[#This Row],[Item_Rehab_WL]],[1]!Table2[#All],7,FALSE),0)</f>
        <v>0</v>
      </c>
      <c r="AQ165" s="25">
        <f>IF(Table1[[#This Row],[Adjusted_ULife_HP]]=4,VLOOKUP(Table1[[#This Row],[Item_Handpump]],[1]!Table2[#All],7,FALSE),0)</f>
        <v>0</v>
      </c>
      <c r="AR165" s="25">
        <f>IF(Table1[[#This Row],[Adjusted_ULife_PF]]=4,VLOOKUP(Table1[[#This Row],[Item_Platform]],[1]!Table2[#All],7,FALSE),0)</f>
        <v>0</v>
      </c>
      <c r="AS165" s="25">
        <f>SUM(Table1[[#This Row],[yr 4_wl]:[yr 4_pf]])</f>
        <v>0</v>
      </c>
      <c r="AT165" s="25">
        <f>IF(Table1[[#This Row],[Years_Next_Rehab_Well]]=5,VLOOKUP(Table1[[#This Row],[Item_Rehab_WL]],[1]!Table2[#All],8,FALSE),0)</f>
        <v>0</v>
      </c>
      <c r="AU165" s="25">
        <f>IF(Table1[[#This Row],[Adjusted_ULife_HP]]=5,VLOOKUP(Table1[[#This Row],[Item_Handpump]],[1]!Table2[#All],8,FALSE),0)</f>
        <v>0</v>
      </c>
      <c r="AV165" s="25">
        <f>IF(Table1[[#This Row],[Adjusted_ULife_PF]]=5,VLOOKUP(Table1[[#This Row],[Item_Platform]],[1]!Table2[#All],8,FALSE),0)</f>
        <v>2643.5125248000018</v>
      </c>
      <c r="AW165" s="25">
        <f>SUM(Table1[[#This Row],[yr 5_wl]:[yr 5_pf]])</f>
        <v>2643.5125248000018</v>
      </c>
      <c r="AX165" s="25">
        <f>IF(Table1[[#This Row],[Years_Next_Rehab_Well]]=6,VLOOKUP(Table1[[#This Row],[Item_Rehab_WL]],[1]!Table2[#All],9,FALSE),0)</f>
        <v>7237.3498456746702</v>
      </c>
      <c r="AY165" s="25">
        <f>IF(Table1[[#This Row],[Adjusted_ULife_HP]]=6,VLOOKUP(Table1[[#This Row],[Item_Handpump]],[1]!Table2[#All],9,FALSE),0)</f>
        <v>0</v>
      </c>
      <c r="AZ165" s="25">
        <f>IF(Table1[[#This Row],[Adjusted_ULife_PF]]=6,VLOOKUP(Table1[[#This Row],[Item_Platform]],[1]!Table2[#All],9,FALSE),0)</f>
        <v>0</v>
      </c>
      <c r="BA165" s="25">
        <f>SUM(Table1[[#This Row],[yr 6_wl]:[yr 6_pf]])</f>
        <v>7237.3498456746702</v>
      </c>
      <c r="BB165" s="25">
        <f>IF(Table1[[#This Row],[Years_Next_Rehab_Well]]=7,VLOOKUP(Table1[[#This Row],[Item_Rehab_WL]],[1]!Table2[#All],10,FALSE),0)</f>
        <v>0</v>
      </c>
      <c r="BC165" s="25">
        <f>IF(Table1[[#This Row],[Adjusted_ULife_HP]]=7,VLOOKUP(Table1[[#This Row],[Item_Handpump]],[1]!Table2[#All],10,FALSE),0)</f>
        <v>0</v>
      </c>
      <c r="BD165" s="25">
        <f>IF(Table1[[#This Row],[Adjusted_ULife_PF]]=7,VLOOKUP(Table1[[#This Row],[Item_Platform]],[1]!Table2[#All],10,FALSE),0)</f>
        <v>0</v>
      </c>
      <c r="BE165" s="25">
        <f>SUM(Table1[[#This Row],[yr 7_wl]:[yr 7_pf]])</f>
        <v>0</v>
      </c>
      <c r="BF165" s="25">
        <f>IF(Table1[[#This Row],[Years_Next_Rehab_Well]]=8,VLOOKUP(Table1[[#This Row],[Item_Rehab_WL]],[1]!Table2[#All],11,FALSE),0)</f>
        <v>0</v>
      </c>
      <c r="BG165" s="25">
        <f>IF(Table1[[#This Row],[Adjusted_ULife_HP]]=8,VLOOKUP(Table1[[#This Row],[Item_Handpump]],[1]!Table2[#All],11,FALSE),0)</f>
        <v>0</v>
      </c>
      <c r="BH165" s="25">
        <f>IF(Table1[[#This Row],[Adjusted_ULife_PF]]=8,VLOOKUP(Table1[[#This Row],[Item_Platform]],[1]!Table2[#All],11,FALSE),0)</f>
        <v>0</v>
      </c>
      <c r="BI165" s="25">
        <f>SUM(Table1[[#This Row],[yr 8_wl]:[yr 8_pf]])</f>
        <v>0</v>
      </c>
      <c r="BJ165" s="25">
        <f>IF(Table1[[#This Row],[Years_Next_Rehab_Well]]=9,VLOOKUP(Table1[[#This Row],[Item_Rehab_WL]],[1]!Table2[#All],12,FALSE),0)</f>
        <v>0</v>
      </c>
      <c r="BK165" s="25">
        <f>IF(Table1[[#This Row],[Adjusted_ULife_HP]]=9,VLOOKUP(Table1[[#This Row],[Item_Handpump]],[1]!Table2[#All],12,FALSE),0)</f>
        <v>0</v>
      </c>
      <c r="BL165" s="25">
        <f>IF(Table1[[#This Row],[Adjusted_ULife_PF]]=9,VLOOKUP(Table1[[#This Row],[Item_Platform]],[1]!Table2[#All],12,FALSE),0)</f>
        <v>0</v>
      </c>
      <c r="BM165" s="25">
        <f>SUM(Table1[[#This Row],[yr 9_wl]:[yr 9_pf]])</f>
        <v>0</v>
      </c>
      <c r="BN165" s="25">
        <f>IF(Table1[[#This Row],[Years_Next_Rehab_Well]]=10,VLOOKUP(Table1[[#This Row],[Item_Rehab_WL]],[1]!Table2[#All],13,FALSE),0)</f>
        <v>0</v>
      </c>
      <c r="BO165" s="25">
        <f>IF(Table1[[#This Row],[Adjusted_ULife_HP]]=10,VLOOKUP(Table1[[#This Row],[Item_Handpump]],[1]!Table2[#All],13,FALSE),0)</f>
        <v>0</v>
      </c>
      <c r="BP165" s="25">
        <f>IF(Table1[[#This Row],[Adjusted_ULife_PF]]=10,VLOOKUP(Table1[[#This Row],[Item_Platform]],[1]!Table2[#All],13,FALSE),0)</f>
        <v>0</v>
      </c>
      <c r="BQ165" s="25">
        <f>SUM(Table1[[#This Row],[yr 10_wl]:[yr 10_pf]])</f>
        <v>0</v>
      </c>
      <c r="BR165" s="25">
        <f>IF(Table1[[#This Row],[Years_Next_Rehab_Well]]=11,VLOOKUP(Table1[[#This Row],[Item_Rehab_WL]],[1]!Table2[#All],14,FALSE),0)</f>
        <v>0</v>
      </c>
      <c r="BS165" s="25">
        <f>IF(Table1[[#This Row],[Adjusted_ULife_HP]]=11,VLOOKUP(Table1[[#This Row],[Item_Handpump]],[1]!Table2[#All],14,FALSE),0)</f>
        <v>0</v>
      </c>
      <c r="BT165" s="25">
        <f>IF(Table1[[#This Row],[Adjusted_ULife_PF]]=11,VLOOKUP(Table1[[#This Row],[Item_Platform]],[1]!Table2[#All],14,FALSE),0)</f>
        <v>0</v>
      </c>
      <c r="BU165" s="25">
        <f>SUM(Table1[[#This Row],[yr 11_wl]:[yr 11_pf]])</f>
        <v>0</v>
      </c>
      <c r="BV165" s="25">
        <f>IF(Table1[[#This Row],[Years_Next_Rehab_Well]]=12,VLOOKUP(Table1[[#This Row],[Item_Rehab_WL]],[1]!Table2[#All],15,FALSE),0)</f>
        <v>0</v>
      </c>
      <c r="BW165" s="25">
        <f>IF(Table1[[#This Row],[Adjusted_ULife_HP]]=12,VLOOKUP(Table1[[#This Row],[Item_Handpump]],[1]!Table2[#All],15,FALSE),0)</f>
        <v>0</v>
      </c>
      <c r="BX165" s="25">
        <f>IF(Table1[[#This Row],[Adjusted_ULife_PF]]=12,VLOOKUP(Table1[[#This Row],[Item_Platform]],[1]!Table2[#All],15,FALSE),0)</f>
        <v>0</v>
      </c>
      <c r="BY165" s="25">
        <f>SUM(Table1[[#This Row],[yr 12_wl]:[yr 12_pf]])</f>
        <v>0</v>
      </c>
      <c r="BZ165" s="25">
        <f>IF(Table1[[#This Row],[Years_Next_Rehab_Well]]=13,VLOOKUP(Table1[[#This Row],[Item_Rehab_WL]],[1]!Table2[#All],16,FALSE),0)</f>
        <v>0</v>
      </c>
      <c r="CA165" s="25">
        <f>IF(Table1[[#This Row],[Adjusted_ULife_HP]]=13,VLOOKUP(Table1[[#This Row],[Item_Handpump]],[1]!Table2[#All],16,FALSE),0)</f>
        <v>0</v>
      </c>
      <c r="CB165" s="25">
        <f>IF(Table1[[#This Row],[Adjusted_ULife_PF]]=13,VLOOKUP(Table1[[#This Row],[Item_Platform]],[1]!Table2[#All],16,FALSE),0)</f>
        <v>0</v>
      </c>
      <c r="CC165" s="25">
        <f>SUM(Table1[[#This Row],[yr 13_wl]:[yr 13_pf]])</f>
        <v>0</v>
      </c>
      <c r="CD165" s="12"/>
    </row>
    <row r="166" spans="1:82" s="11" customFormat="1" x14ac:dyDescent="0.25">
      <c r="A166" s="11" t="str">
        <f>IF([1]Input_monitoring_data!A162="","",[1]Input_monitoring_data!A162)</f>
        <v>wahf-6gfg-egv1</v>
      </c>
      <c r="B166" s="22" t="str">
        <f>[1]Input_monitoring_data!BH162</f>
        <v>Kenyasi No.1</v>
      </c>
      <c r="C166" s="22" t="str">
        <f>[1]Input_monitoring_data!BI162</f>
        <v>Bogyampa</v>
      </c>
      <c r="D166" s="22" t="str">
        <f>[1]Input_monitoring_data!P162</f>
        <v>6.975537298863611</v>
      </c>
      <c r="E166" s="22" t="str">
        <f>[1]Input_monitoring_data!Q162</f>
        <v>-2.466014302812393</v>
      </c>
      <c r="F166" s="22" t="str">
        <f>[1]Input_monitoring_data!V162</f>
        <v>Last Stop</v>
      </c>
      <c r="G166" s="23" t="str">
        <f>[1]Input_monitoring_data!U162</f>
        <v>Hand dug well</v>
      </c>
      <c r="H166" s="22">
        <f>[1]Input_monitoring_data!X162</f>
        <v>2006</v>
      </c>
      <c r="I166" s="21" t="str">
        <f>[1]Input_monitoring_data!AB162</f>
        <v>Borehole redevelopment</v>
      </c>
      <c r="J166" s="21">
        <f>[1]Input_monitoring_data!AC162</f>
        <v>0</v>
      </c>
      <c r="K166" s="23" t="str">
        <f>[1]Input_monitoring_data!W162</f>
        <v>Nira AF-85</v>
      </c>
      <c r="L166" s="22">
        <f>[1]Input_monitoring_data!X162</f>
        <v>2006</v>
      </c>
      <c r="M166" s="21">
        <f>IF([1]Input_monitoring_data!BL162&gt;'Point Sources_Asset_Register_'!L166,[1]Input_monitoring_data!BL162,"")</f>
        <v>2014</v>
      </c>
      <c r="N166" s="22" t="str">
        <f>[1]Input_monitoring_data!BQ162</f>
        <v>not functional</v>
      </c>
      <c r="O166" s="22">
        <f>[1]Input_monitoring_data!AJ162</f>
        <v>0</v>
      </c>
      <c r="P166" s="23" t="s">
        <v>0</v>
      </c>
      <c r="Q166" s="22">
        <f>L166</f>
        <v>2006</v>
      </c>
      <c r="R166" s="21">
        <f>M166</f>
        <v>2014</v>
      </c>
      <c r="S166" s="20">
        <f>[1]Input_EUL_CRC_ERC!$B$17-Table1[[#This Row],[Year Installed_WL]]</f>
        <v>11</v>
      </c>
      <c r="T166" s="20">
        <f>[1]Input_EUL_CRC_ERC!$B$17-(IF(Table1[[#This Row],[Year Last_Rehab_WL ]]=0,Table1[[#This Row],[Year Installed_WL]],[1]Input_EUL_CRC_ERC!$B$17-Table1[[#This Row],[Year Last_Rehab_WL ]]))</f>
        <v>11</v>
      </c>
      <c r="U166" s="20">
        <f>(VLOOKUP(Table1[[#This Row],[Item_Rehab_WL]],[1]Input_EUL_CRC_ERC!$C$17:$E$27,2,FALSE)-Table1[[#This Row],[Last Rehab Age]])</f>
        <v>4</v>
      </c>
      <c r="V166" s="19">
        <f>[1]Input_EUL_CRC_ERC!$B$17-Table1[[#This Row],[Year Installed_HP]]</f>
        <v>11</v>
      </c>
      <c r="W166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66" s="19">
        <f>[1]Input_EUL_CRC_ERC!$B$17-Table1[[#This Row],[Year Installed_PF]]</f>
        <v>11</v>
      </c>
      <c r="Y166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66" s="25">
        <f>IF(Table1[[#This Row],[Years_Next_Rehab_Well]]&lt;=0,VLOOKUP(Table1[[#This Row],[Item_Rehab_WL]],[1]!Table2[#All],3,FALSE),0)</f>
        <v>0</v>
      </c>
      <c r="AA166" s="18">
        <f>IF(Table1[[#This Row],[Adjusted_ULife_HP]]&lt;=0,VLOOKUP(Table1[[#This Row],[Item_Handpump]],[1]!Table2[#All],3,FALSE),0)</f>
        <v>0</v>
      </c>
      <c r="AB166" s="18">
        <f>IF(Table1[[#This Row],[Adjusted_ULife_PF]]&lt;=0,VLOOKUP(Table1[[#This Row],[Item_Platform]],[1]!Table2[#All],3,FALSE),0)</f>
        <v>0</v>
      </c>
      <c r="AC166" s="18">
        <f>SUM(Table1[[#This Row],[current yr_wl]:[current yr_pf]])</f>
        <v>0</v>
      </c>
      <c r="AD166" s="25">
        <f>IF(Table1[[#This Row],[Years_Next_Rehab_Well]]=1,VLOOKUP(Table1[[#This Row],[Item_Rehab_WL]],[1]!Table2[#All],4,FALSE),0)</f>
        <v>0</v>
      </c>
      <c r="AE166" s="25">
        <f>IF(Table1[[#This Row],[Adjusted_ULife_HP]]=1,VLOOKUP(Table1[[#This Row],[Item_Handpump]],[1]!Table2[#All],4,FALSE),0)</f>
        <v>0</v>
      </c>
      <c r="AF166" s="25">
        <f>IF(Table1[[#This Row],[Adjusted_ULife_PF]]=1,VLOOKUP(Table1[[#This Row],[Item_Platform]],[1]!Table2[#All],4,FALSE),0)</f>
        <v>0</v>
      </c>
      <c r="AG166" s="25">
        <f>SUM(Table1[[#This Row],[yr 1_wl]:[yr 1_pf]])</f>
        <v>0</v>
      </c>
      <c r="AH166" s="25">
        <f>IF(Table1[[#This Row],[Years_Next_Rehab_Well]]=2,VLOOKUP(Table1[[#This Row],[Item_Rehab_WL]],[1]!Table2[#All],5,FALSE),0)</f>
        <v>0</v>
      </c>
      <c r="AI166" s="25">
        <f>IF(Table1[[#This Row],[Adjusted_ULife_HP]]=2,VLOOKUP(Table1[[#This Row],[Item_Handpump]],[1]!Table2[#All],5,FALSE),0)</f>
        <v>0</v>
      </c>
      <c r="AJ166" s="25">
        <f>IF(Table1[[#This Row],[Adjusted_ULife_PF]]=2,VLOOKUP(Table1[[#This Row],[Item_Platform]],[1]!Table2[#All],5,FALSE),0)</f>
        <v>0</v>
      </c>
      <c r="AK166" s="25">
        <f>SUM(Table1[[#This Row],[yr 2_wl]:[yr 2_pf]])</f>
        <v>0</v>
      </c>
      <c r="AL166" s="25">
        <f>IF(Table1[[#This Row],[Years_Next_Rehab_Well]]=3,VLOOKUP(Table1[[#This Row],[Item_Rehab_WL]],[1]!Table2[#All],6,FALSE),0)</f>
        <v>0</v>
      </c>
      <c r="AM166" s="25">
        <f>IF(Table1[[#This Row],[Adjusted_ULife_HP]]=3,VLOOKUP(Table1[[#This Row],[Item_Handpump]],[1]!Table2[#All],6,FALSE),0)</f>
        <v>0</v>
      </c>
      <c r="AN166" s="25">
        <f>IF(Table1[[#This Row],[Adjusted_ULife_PF]]=3,VLOOKUP(Table1[[#This Row],[Item_Platform]],[1]!Table2[#All],6,FALSE),0)</f>
        <v>0</v>
      </c>
      <c r="AO166" s="25">
        <f>SUM(Table1[[#This Row],[yr 3_wl]:[yr 3_pf]])</f>
        <v>0</v>
      </c>
      <c r="AP166" s="25">
        <f>IF(Table1[[#This Row],[Years_Next_Rehab_Well]]=4,VLOOKUP(Table1[[#This Row],[Item_Rehab_WL]],[1]!Table2[#All],7,FALSE),0)</f>
        <v>5769.5709866666684</v>
      </c>
      <c r="AQ166" s="25">
        <f>IF(Table1[[#This Row],[Adjusted_ULife_HP]]=4,VLOOKUP(Table1[[#This Row],[Item_Handpump]],[1]!Table2[#All],7,FALSE),0)</f>
        <v>0</v>
      </c>
      <c r="AR166" s="25">
        <f>IF(Table1[[#This Row],[Adjusted_ULife_PF]]=4,VLOOKUP(Table1[[#This Row],[Item_Platform]],[1]!Table2[#All],7,FALSE),0)</f>
        <v>0</v>
      </c>
      <c r="AS166" s="25">
        <f>SUM(Table1[[#This Row],[yr 4_wl]:[yr 4_pf]])</f>
        <v>5769.5709866666684</v>
      </c>
      <c r="AT166" s="25">
        <f>IF(Table1[[#This Row],[Years_Next_Rehab_Well]]=5,VLOOKUP(Table1[[#This Row],[Item_Rehab_WL]],[1]!Table2[#All],8,FALSE),0)</f>
        <v>0</v>
      </c>
      <c r="AU166" s="25">
        <f>IF(Table1[[#This Row],[Adjusted_ULife_HP]]=5,VLOOKUP(Table1[[#This Row],[Item_Handpump]],[1]!Table2[#All],8,FALSE),0)</f>
        <v>0</v>
      </c>
      <c r="AV166" s="25">
        <f>IF(Table1[[#This Row],[Adjusted_ULife_PF]]=5,VLOOKUP(Table1[[#This Row],[Item_Platform]],[1]!Table2[#All],8,FALSE),0)</f>
        <v>0</v>
      </c>
      <c r="AW166" s="25">
        <f>SUM(Table1[[#This Row],[yr 5_wl]:[yr 5_pf]])</f>
        <v>0</v>
      </c>
      <c r="AX166" s="25">
        <f>IF(Table1[[#This Row],[Years_Next_Rehab_Well]]=6,VLOOKUP(Table1[[#This Row],[Item_Rehab_WL]],[1]!Table2[#All],9,FALSE),0)</f>
        <v>0</v>
      </c>
      <c r="AY166" s="25">
        <f>IF(Table1[[#This Row],[Adjusted_ULife_HP]]=6,VLOOKUP(Table1[[#This Row],[Item_Handpump]],[1]!Table2[#All],9,FALSE),0)</f>
        <v>0</v>
      </c>
      <c r="AZ166" s="25">
        <f>IF(Table1[[#This Row],[Adjusted_ULife_PF]]=6,VLOOKUP(Table1[[#This Row],[Item_Platform]],[1]!Table2[#All],9,FALSE),0)</f>
        <v>0</v>
      </c>
      <c r="BA166" s="25">
        <f>SUM(Table1[[#This Row],[yr 6_wl]:[yr 6_pf]])</f>
        <v>0</v>
      </c>
      <c r="BB166" s="25">
        <f>IF(Table1[[#This Row],[Years_Next_Rehab_Well]]=7,VLOOKUP(Table1[[#This Row],[Item_Rehab_WL]],[1]!Table2[#All],10,FALSE),0)</f>
        <v>0</v>
      </c>
      <c r="BC166" s="25">
        <f>IF(Table1[[#This Row],[Adjusted_ULife_HP]]=7,VLOOKUP(Table1[[#This Row],[Item_Handpump]],[1]!Table2[#All],10,FALSE),0)</f>
        <v>0</v>
      </c>
      <c r="BD166" s="25">
        <f>IF(Table1[[#This Row],[Adjusted_ULife_PF]]=7,VLOOKUP(Table1[[#This Row],[Item_Platform]],[1]!Table2[#All],10,FALSE),0)</f>
        <v>3316.0221111091228</v>
      </c>
      <c r="BE166" s="25">
        <f>SUM(Table1[[#This Row],[yr 7_wl]:[yr 7_pf]])</f>
        <v>3316.0221111091228</v>
      </c>
      <c r="BF166" s="25">
        <f>IF(Table1[[#This Row],[Years_Next_Rehab_Well]]=8,VLOOKUP(Table1[[#This Row],[Item_Rehab_WL]],[1]!Table2[#All],11,FALSE),0)</f>
        <v>0</v>
      </c>
      <c r="BG166" s="25">
        <f>IF(Table1[[#This Row],[Adjusted_ULife_HP]]=8,VLOOKUP(Table1[[#This Row],[Item_Handpump]],[1]!Table2[#All],11,FALSE),0)</f>
        <v>0</v>
      </c>
      <c r="BH166" s="25">
        <f>IF(Table1[[#This Row],[Adjusted_ULife_PF]]=8,VLOOKUP(Table1[[#This Row],[Item_Platform]],[1]!Table2[#All],11,FALSE),0)</f>
        <v>0</v>
      </c>
      <c r="BI166" s="25">
        <f>SUM(Table1[[#This Row],[yr 8_wl]:[yr 8_pf]])</f>
        <v>0</v>
      </c>
      <c r="BJ166" s="25">
        <f>IF(Table1[[#This Row],[Years_Next_Rehab_Well]]=9,VLOOKUP(Table1[[#This Row],[Item_Rehab_WL]],[1]!Table2[#All],12,FALSE),0)</f>
        <v>0</v>
      </c>
      <c r="BK166" s="25">
        <f>IF(Table1[[#This Row],[Adjusted_ULife_HP]]=9,VLOOKUP(Table1[[#This Row],[Item_Handpump]],[1]!Table2[#All],12,FALSE),0)</f>
        <v>0</v>
      </c>
      <c r="BL166" s="25">
        <f>IF(Table1[[#This Row],[Adjusted_ULife_PF]]=9,VLOOKUP(Table1[[#This Row],[Item_Platform]],[1]!Table2[#All],12,FALSE),0)</f>
        <v>0</v>
      </c>
      <c r="BM166" s="25">
        <f>SUM(Table1[[#This Row],[yr 9_wl]:[yr 9_pf]])</f>
        <v>0</v>
      </c>
      <c r="BN166" s="25">
        <f>IF(Table1[[#This Row],[Years_Next_Rehab_Well]]=10,VLOOKUP(Table1[[#This Row],[Item_Rehab_WL]],[1]!Table2[#All],13,FALSE),0)</f>
        <v>0</v>
      </c>
      <c r="BO166" s="25">
        <f>IF(Table1[[#This Row],[Adjusted_ULife_HP]]=10,VLOOKUP(Table1[[#This Row],[Item_Handpump]],[1]!Table2[#All],13,FALSE),0)</f>
        <v>0</v>
      </c>
      <c r="BP166" s="25">
        <f>IF(Table1[[#This Row],[Adjusted_ULife_PF]]=10,VLOOKUP(Table1[[#This Row],[Item_Platform]],[1]!Table2[#All],13,FALSE),0)</f>
        <v>0</v>
      </c>
      <c r="BQ166" s="25">
        <f>SUM(Table1[[#This Row],[yr 10_wl]:[yr 10_pf]])</f>
        <v>0</v>
      </c>
      <c r="BR166" s="25">
        <f>IF(Table1[[#This Row],[Years_Next_Rehab_Well]]=11,VLOOKUP(Table1[[#This Row],[Item_Rehab_WL]],[1]!Table2[#All],14,FALSE),0)</f>
        <v>0</v>
      </c>
      <c r="BS166" s="25">
        <f>IF(Table1[[#This Row],[Adjusted_ULife_HP]]=11,VLOOKUP(Table1[[#This Row],[Item_Handpump]],[1]!Table2[#All],14,FALSE),0)</f>
        <v>0</v>
      </c>
      <c r="BT166" s="25">
        <f>IF(Table1[[#This Row],[Adjusted_ULife_PF]]=11,VLOOKUP(Table1[[#This Row],[Item_Platform]],[1]!Table2[#All],14,FALSE),0)</f>
        <v>0</v>
      </c>
      <c r="BU166" s="25">
        <f>SUM(Table1[[#This Row],[yr 11_wl]:[yr 11_pf]])</f>
        <v>0</v>
      </c>
      <c r="BV166" s="25">
        <f>IF(Table1[[#This Row],[Years_Next_Rehab_Well]]=12,VLOOKUP(Table1[[#This Row],[Item_Rehab_WL]],[1]!Table2[#All],15,FALSE),0)</f>
        <v>0</v>
      </c>
      <c r="BW166" s="25">
        <f>IF(Table1[[#This Row],[Adjusted_ULife_HP]]=12,VLOOKUP(Table1[[#This Row],[Item_Handpump]],[1]!Table2[#All],15,FALSE),0)</f>
        <v>0</v>
      </c>
      <c r="BX166" s="25">
        <f>IF(Table1[[#This Row],[Adjusted_ULife_PF]]=12,VLOOKUP(Table1[[#This Row],[Item_Platform]],[1]!Table2[#All],15,FALSE),0)</f>
        <v>0</v>
      </c>
      <c r="BY166" s="25">
        <f>SUM(Table1[[#This Row],[yr 12_wl]:[yr 12_pf]])</f>
        <v>0</v>
      </c>
      <c r="BZ166" s="25">
        <f>IF(Table1[[#This Row],[Years_Next_Rehab_Well]]=13,VLOOKUP(Table1[[#This Row],[Item_Rehab_WL]],[1]!Table2[#All],16,FALSE),0)</f>
        <v>0</v>
      </c>
      <c r="CA166" s="25">
        <f>IF(Table1[[#This Row],[Adjusted_ULife_HP]]=13,VLOOKUP(Table1[[#This Row],[Item_Handpump]],[1]!Table2[#All],16,FALSE),0)</f>
        <v>0</v>
      </c>
      <c r="CB166" s="25">
        <f>IF(Table1[[#This Row],[Adjusted_ULife_PF]]=13,VLOOKUP(Table1[[#This Row],[Item_Platform]],[1]!Table2[#All],16,FALSE),0)</f>
        <v>0</v>
      </c>
      <c r="CC166" s="25">
        <f>SUM(Table1[[#This Row],[yr 13_wl]:[yr 13_pf]])</f>
        <v>0</v>
      </c>
      <c r="CD166" s="12"/>
    </row>
    <row r="167" spans="1:82" s="11" customFormat="1" x14ac:dyDescent="0.25">
      <c r="A167" s="11" t="str">
        <f>IF([1]Input_monitoring_data!A163="","",[1]Input_monitoring_data!A163)</f>
        <v>wsmf-ge91-a0at</v>
      </c>
      <c r="B167" s="22" t="str">
        <f>[1]Input_monitoring_data!BH163</f>
        <v>Ntotroso</v>
      </c>
      <c r="C167" s="22" t="str">
        <f>[1]Input_monitoring_data!BI163</f>
        <v>Ntotroso Resettlement</v>
      </c>
      <c r="D167" s="22" t="str">
        <f>[1]Input_monitoring_data!P163</f>
        <v>7.056105079094976</v>
      </c>
      <c r="E167" s="22" t="str">
        <f>[1]Input_monitoring_data!Q163</f>
        <v>-2.3270463337118543</v>
      </c>
      <c r="F167" s="22" t="str">
        <f>[1]Input_monitoring_data!V163</f>
        <v>Resettement Water Board Office</v>
      </c>
      <c r="G167" s="23" t="str">
        <f>[1]Input_monitoring_data!U163</f>
        <v>Borehole</v>
      </c>
      <c r="H167" s="22">
        <f>[1]Input_monitoring_data!X163</f>
        <v>2007</v>
      </c>
      <c r="I167" s="21" t="str">
        <f>[1]Input_monitoring_data!AB163</f>
        <v>Borehole redevelopment</v>
      </c>
      <c r="J167" s="21">
        <f>[1]Input_monitoring_data!AC163</f>
        <v>0</v>
      </c>
      <c r="K167" s="23" t="str">
        <f>[1]Input_monitoring_data!W163</f>
        <v>AfriDev</v>
      </c>
      <c r="L167" s="22">
        <f>[1]Input_monitoring_data!X163</f>
        <v>2007</v>
      </c>
      <c r="M167" s="21" t="str">
        <f>IF([1]Input_monitoring_data!BL163&gt;'Point Sources_Asset_Register_'!L167,[1]Input_monitoring_data!BL163,"")</f>
        <v/>
      </c>
      <c r="N167" s="22" t="str">
        <f>[1]Input_monitoring_data!BQ163</f>
        <v>functional</v>
      </c>
      <c r="O167" s="22">
        <f>[1]Input_monitoring_data!AJ163</f>
        <v>0</v>
      </c>
      <c r="P167" s="23" t="s">
        <v>0</v>
      </c>
      <c r="Q167" s="22">
        <f>L167</f>
        <v>2007</v>
      </c>
      <c r="R167" s="21" t="str">
        <f>M167</f>
        <v/>
      </c>
      <c r="S167" s="20">
        <f>[1]Input_EUL_CRC_ERC!$B$17-Table1[[#This Row],[Year Installed_WL]]</f>
        <v>10</v>
      </c>
      <c r="T167" s="20">
        <f>[1]Input_EUL_CRC_ERC!$B$17-(IF(Table1[[#This Row],[Year Last_Rehab_WL ]]=0,Table1[[#This Row],[Year Installed_WL]],[1]Input_EUL_CRC_ERC!$B$17-Table1[[#This Row],[Year Last_Rehab_WL ]]))</f>
        <v>10</v>
      </c>
      <c r="U167" s="20">
        <f>(VLOOKUP(Table1[[#This Row],[Item_Rehab_WL]],[1]Input_EUL_CRC_ERC!$C$17:$E$27,2,FALSE)-Table1[[#This Row],[Last Rehab Age]])</f>
        <v>5</v>
      </c>
      <c r="V167" s="19">
        <f>[1]Input_EUL_CRC_ERC!$B$17-Table1[[#This Row],[Year Installed_HP]]</f>
        <v>10</v>
      </c>
      <c r="W167" s="19">
        <f>(VLOOKUP(Table1[[#This Row],[Item_Handpump]],[1]!Table2[#All],2,FALSE))-(IF(Table1[[#This Row],[Year Last_Rehab_HP]]="",Table1[[#This Row],[Current Age_Handpump]],[1]Input_EUL_CRC_ERC!$B$17-Table1[[#This Row],[Year Last_Rehab_HP]]))</f>
        <v>10</v>
      </c>
      <c r="X167" s="19">
        <f>[1]Input_EUL_CRC_ERC!$B$17-Table1[[#This Row],[Year Installed_PF]]</f>
        <v>10</v>
      </c>
      <c r="Y167" s="19">
        <f>(VLOOKUP(Table1[[#This Row],[Item_Platform]],[1]!Table2[#All],2,FALSE))-(IF(Table1[[#This Row],[Year Last_Rehab_PF]]="",Table1[[#This Row],[Current Age_Platform]],[1]Input_EUL_CRC_ERC!$B$17-Table1[[#This Row],[Year Last_Rehab_PF]]))</f>
        <v>0</v>
      </c>
      <c r="Z167" s="25">
        <f>IF(Table1[[#This Row],[Years_Next_Rehab_Well]]&lt;=0,VLOOKUP(Table1[[#This Row],[Item_Rehab_WL]],[1]!Table2[#All],3,FALSE),0)</f>
        <v>0</v>
      </c>
      <c r="AA167" s="18">
        <f>IF(Table1[[#This Row],[Adjusted_ULife_HP]]&lt;=0,VLOOKUP(Table1[[#This Row],[Item_Handpump]],[1]!Table2[#All],3,FALSE),0)</f>
        <v>0</v>
      </c>
      <c r="AB167" s="18">
        <f>IF(Table1[[#This Row],[Adjusted_ULife_PF]]&lt;=0,VLOOKUP(Table1[[#This Row],[Item_Platform]],[1]!Table2[#All],3,FALSE),0)</f>
        <v>1500</v>
      </c>
      <c r="AC167" s="18">
        <f>SUM(Table1[[#This Row],[current yr_wl]:[current yr_pf]])</f>
        <v>1500</v>
      </c>
      <c r="AD167" s="25">
        <f>IF(Table1[[#This Row],[Years_Next_Rehab_Well]]=1,VLOOKUP(Table1[[#This Row],[Item_Rehab_WL]],[1]!Table2[#All],4,FALSE),0)</f>
        <v>0</v>
      </c>
      <c r="AE167" s="25">
        <f>IF(Table1[[#This Row],[Adjusted_ULife_HP]]=1,VLOOKUP(Table1[[#This Row],[Item_Handpump]],[1]!Table2[#All],4,FALSE),0)</f>
        <v>0</v>
      </c>
      <c r="AF167" s="25">
        <f>IF(Table1[[#This Row],[Adjusted_ULife_PF]]=1,VLOOKUP(Table1[[#This Row],[Item_Platform]],[1]!Table2[#All],4,FALSE),0)</f>
        <v>0</v>
      </c>
      <c r="AG167" s="25">
        <f>SUM(Table1[[#This Row],[yr 1_wl]:[yr 1_pf]])</f>
        <v>0</v>
      </c>
      <c r="AH167" s="25">
        <f>IF(Table1[[#This Row],[Years_Next_Rehab_Well]]=2,VLOOKUP(Table1[[#This Row],[Item_Rehab_WL]],[1]!Table2[#All],5,FALSE),0)</f>
        <v>0</v>
      </c>
      <c r="AI167" s="25">
        <f>IF(Table1[[#This Row],[Adjusted_ULife_HP]]=2,VLOOKUP(Table1[[#This Row],[Item_Handpump]],[1]!Table2[#All],5,FALSE),0)</f>
        <v>0</v>
      </c>
      <c r="AJ167" s="25">
        <f>IF(Table1[[#This Row],[Adjusted_ULife_PF]]=2,VLOOKUP(Table1[[#This Row],[Item_Platform]],[1]!Table2[#All],5,FALSE),0)</f>
        <v>0</v>
      </c>
      <c r="AK167" s="25">
        <f>SUM(Table1[[#This Row],[yr 2_wl]:[yr 2_pf]])</f>
        <v>0</v>
      </c>
      <c r="AL167" s="25">
        <f>IF(Table1[[#This Row],[Years_Next_Rehab_Well]]=3,VLOOKUP(Table1[[#This Row],[Item_Rehab_WL]],[1]!Table2[#All],6,FALSE),0)</f>
        <v>0</v>
      </c>
      <c r="AM167" s="25">
        <f>IF(Table1[[#This Row],[Adjusted_ULife_HP]]=3,VLOOKUP(Table1[[#This Row],[Item_Handpump]],[1]!Table2[#All],6,FALSE),0)</f>
        <v>0</v>
      </c>
      <c r="AN167" s="25">
        <f>IF(Table1[[#This Row],[Adjusted_ULife_PF]]=3,VLOOKUP(Table1[[#This Row],[Item_Platform]],[1]!Table2[#All],6,FALSE),0)</f>
        <v>0</v>
      </c>
      <c r="AO167" s="25">
        <f>SUM(Table1[[#This Row],[yr 3_wl]:[yr 3_pf]])</f>
        <v>0</v>
      </c>
      <c r="AP167" s="25">
        <f>IF(Table1[[#This Row],[Years_Next_Rehab_Well]]=4,VLOOKUP(Table1[[#This Row],[Item_Rehab_WL]],[1]!Table2[#All],7,FALSE),0)</f>
        <v>0</v>
      </c>
      <c r="AQ167" s="25">
        <f>IF(Table1[[#This Row],[Adjusted_ULife_HP]]=4,VLOOKUP(Table1[[#This Row],[Item_Handpump]],[1]!Table2[#All],7,FALSE),0)</f>
        <v>0</v>
      </c>
      <c r="AR167" s="25">
        <f>IF(Table1[[#This Row],[Adjusted_ULife_PF]]=4,VLOOKUP(Table1[[#This Row],[Item_Platform]],[1]!Table2[#All],7,FALSE),0)</f>
        <v>0</v>
      </c>
      <c r="AS167" s="25">
        <f>SUM(Table1[[#This Row],[yr 4_wl]:[yr 4_pf]])</f>
        <v>0</v>
      </c>
      <c r="AT167" s="25">
        <f>IF(Table1[[#This Row],[Years_Next_Rehab_Well]]=5,VLOOKUP(Table1[[#This Row],[Item_Rehab_WL]],[1]!Table2[#All],8,FALSE),0)</f>
        <v>6461.9195050666694</v>
      </c>
      <c r="AU167" s="25">
        <f>IF(Table1[[#This Row],[Adjusted_ULife_HP]]=5,VLOOKUP(Table1[[#This Row],[Item_Handpump]],[1]!Table2[#All],8,FALSE),0)</f>
        <v>0</v>
      </c>
      <c r="AV167" s="25">
        <f>IF(Table1[[#This Row],[Adjusted_ULife_PF]]=5,VLOOKUP(Table1[[#This Row],[Item_Platform]],[1]!Table2[#All],8,FALSE),0)</f>
        <v>0</v>
      </c>
      <c r="AW167" s="25">
        <f>SUM(Table1[[#This Row],[yr 5_wl]:[yr 5_pf]])</f>
        <v>6461.9195050666694</v>
      </c>
      <c r="AX167" s="25">
        <f>IF(Table1[[#This Row],[Years_Next_Rehab_Well]]=6,VLOOKUP(Table1[[#This Row],[Item_Rehab_WL]],[1]!Table2[#All],9,FALSE),0)</f>
        <v>0</v>
      </c>
      <c r="AY167" s="25">
        <f>IF(Table1[[#This Row],[Adjusted_ULife_HP]]=6,VLOOKUP(Table1[[#This Row],[Item_Handpump]],[1]!Table2[#All],9,FALSE),0)</f>
        <v>0</v>
      </c>
      <c r="AZ167" s="25">
        <f>IF(Table1[[#This Row],[Adjusted_ULife_PF]]=6,VLOOKUP(Table1[[#This Row],[Item_Platform]],[1]!Table2[#All],9,FALSE),0)</f>
        <v>0</v>
      </c>
      <c r="BA167" s="25">
        <f>SUM(Table1[[#This Row],[yr 6_wl]:[yr 6_pf]])</f>
        <v>0</v>
      </c>
      <c r="BB167" s="25">
        <f>IF(Table1[[#This Row],[Years_Next_Rehab_Well]]=7,VLOOKUP(Table1[[#This Row],[Item_Rehab_WL]],[1]!Table2[#All],10,FALSE),0)</f>
        <v>0</v>
      </c>
      <c r="BC167" s="25">
        <f>IF(Table1[[#This Row],[Adjusted_ULife_HP]]=7,VLOOKUP(Table1[[#This Row],[Item_Handpump]],[1]!Table2[#All],10,FALSE),0)</f>
        <v>0</v>
      </c>
      <c r="BD167" s="25">
        <f>IF(Table1[[#This Row],[Adjusted_ULife_PF]]=7,VLOOKUP(Table1[[#This Row],[Item_Platform]],[1]!Table2[#All],10,FALSE),0)</f>
        <v>0</v>
      </c>
      <c r="BE167" s="25">
        <f>SUM(Table1[[#This Row],[yr 7_wl]:[yr 7_pf]])</f>
        <v>0</v>
      </c>
      <c r="BF167" s="25">
        <f>IF(Table1[[#This Row],[Years_Next_Rehab_Well]]=8,VLOOKUP(Table1[[#This Row],[Item_Rehab_WL]],[1]!Table2[#All],11,FALSE),0)</f>
        <v>0</v>
      </c>
      <c r="BG167" s="25">
        <f>IF(Table1[[#This Row],[Adjusted_ULife_HP]]=8,VLOOKUP(Table1[[#This Row],[Item_Handpump]],[1]!Table2[#All],11,FALSE),0)</f>
        <v>0</v>
      </c>
      <c r="BH167" s="25">
        <f>IF(Table1[[#This Row],[Adjusted_ULife_PF]]=8,VLOOKUP(Table1[[#This Row],[Item_Platform]],[1]!Table2[#All],11,FALSE),0)</f>
        <v>0</v>
      </c>
      <c r="BI167" s="25">
        <f>SUM(Table1[[#This Row],[yr 8_wl]:[yr 8_pf]])</f>
        <v>0</v>
      </c>
      <c r="BJ167" s="25">
        <f>IF(Table1[[#This Row],[Years_Next_Rehab_Well]]=9,VLOOKUP(Table1[[#This Row],[Item_Rehab_WL]],[1]!Table2[#All],12,FALSE),0)</f>
        <v>0</v>
      </c>
      <c r="BK167" s="25">
        <f>IF(Table1[[#This Row],[Adjusted_ULife_HP]]=9,VLOOKUP(Table1[[#This Row],[Item_Handpump]],[1]!Table2[#All],12,FALSE),0)</f>
        <v>0</v>
      </c>
      <c r="BL167" s="25">
        <f>IF(Table1[[#This Row],[Adjusted_ULife_PF]]=9,VLOOKUP(Table1[[#This Row],[Item_Platform]],[1]!Table2[#All],12,FALSE),0)</f>
        <v>0</v>
      </c>
      <c r="BM167" s="25">
        <f>SUM(Table1[[#This Row],[yr 9_wl]:[yr 9_pf]])</f>
        <v>0</v>
      </c>
      <c r="BN167" s="25">
        <f>IF(Table1[[#This Row],[Years_Next_Rehab_Well]]=10,VLOOKUP(Table1[[#This Row],[Item_Rehab_WL]],[1]!Table2[#All],13,FALSE),0)</f>
        <v>0</v>
      </c>
      <c r="BO167" s="25">
        <f>IF(Table1[[#This Row],[Adjusted_ULife_HP]]=10,VLOOKUP(Table1[[#This Row],[Item_Handpump]],[1]!Table2[#All],13,FALSE),0)</f>
        <v>1242.3392833376847</v>
      </c>
      <c r="BP167" s="25">
        <f>IF(Table1[[#This Row],[Adjusted_ULife_PF]]=10,VLOOKUP(Table1[[#This Row],[Item_Platform]],[1]!Table2[#All],13,FALSE),0)</f>
        <v>0</v>
      </c>
      <c r="BQ167" s="25">
        <f>SUM(Table1[[#This Row],[yr 10_wl]:[yr 10_pf]])</f>
        <v>1242.3392833376847</v>
      </c>
      <c r="BR167" s="25">
        <f>IF(Table1[[#This Row],[Years_Next_Rehab_Well]]=11,VLOOKUP(Table1[[#This Row],[Item_Rehab_WL]],[1]!Table2[#All],14,FALSE),0)</f>
        <v>0</v>
      </c>
      <c r="BS167" s="25">
        <f>IF(Table1[[#This Row],[Adjusted_ULife_HP]]=11,VLOOKUP(Table1[[#This Row],[Item_Handpump]],[1]!Table2[#All],14,FALSE),0)</f>
        <v>0</v>
      </c>
      <c r="BT167" s="25">
        <f>IF(Table1[[#This Row],[Adjusted_ULife_PF]]=11,VLOOKUP(Table1[[#This Row],[Item_Platform]],[1]!Table2[#All],14,FALSE),0)</f>
        <v>0</v>
      </c>
      <c r="BU167" s="25">
        <f>SUM(Table1[[#This Row],[yr 11_wl]:[yr 11_pf]])</f>
        <v>0</v>
      </c>
      <c r="BV167" s="25">
        <f>IF(Table1[[#This Row],[Years_Next_Rehab_Well]]=12,VLOOKUP(Table1[[#This Row],[Item_Rehab_WL]],[1]!Table2[#All],15,FALSE),0)</f>
        <v>0</v>
      </c>
      <c r="BW167" s="25">
        <f>IF(Table1[[#This Row],[Adjusted_ULife_HP]]=12,VLOOKUP(Table1[[#This Row],[Item_Handpump]],[1]!Table2[#All],15,FALSE),0)</f>
        <v>0</v>
      </c>
      <c r="BX167" s="25">
        <f>IF(Table1[[#This Row],[Adjusted_ULife_PF]]=12,VLOOKUP(Table1[[#This Row],[Item_Platform]],[1]!Table2[#All],15,FALSE),0)</f>
        <v>0</v>
      </c>
      <c r="BY167" s="25">
        <f>SUM(Table1[[#This Row],[yr 12_wl]:[yr 12_pf]])</f>
        <v>0</v>
      </c>
      <c r="BZ167" s="25">
        <f>IF(Table1[[#This Row],[Years_Next_Rehab_Well]]=13,VLOOKUP(Table1[[#This Row],[Item_Rehab_WL]],[1]!Table2[#All],16,FALSE),0)</f>
        <v>0</v>
      </c>
      <c r="CA167" s="25">
        <f>IF(Table1[[#This Row],[Adjusted_ULife_HP]]=13,VLOOKUP(Table1[[#This Row],[Item_Handpump]],[1]!Table2[#All],16,FALSE),0)</f>
        <v>0</v>
      </c>
      <c r="CB167" s="25">
        <f>IF(Table1[[#This Row],[Adjusted_ULife_PF]]=13,VLOOKUP(Table1[[#This Row],[Item_Platform]],[1]!Table2[#All],16,FALSE),0)</f>
        <v>0</v>
      </c>
      <c r="CC167" s="25">
        <f>SUM(Table1[[#This Row],[yr 13_wl]:[yr 13_pf]])</f>
        <v>0</v>
      </c>
      <c r="CD167" s="12"/>
    </row>
    <row r="168" spans="1:82" s="11" customFormat="1" x14ac:dyDescent="0.25">
      <c r="A168" s="11" t="str">
        <f>IF([1]Input_monitoring_data!A164="","",[1]Input_monitoring_data!A164)</f>
        <v>wtsr-pmg2-pxtq</v>
      </c>
      <c r="B168" s="22" t="str">
        <f>[1]Input_monitoring_data!BH164</f>
        <v>Gambia</v>
      </c>
      <c r="C168" s="22" t="str">
        <f>[1]Input_monitoring_data!BI164</f>
        <v>Krakyekrom</v>
      </c>
      <c r="D168" s="22" t="str">
        <f>[1]Input_monitoring_data!P164</f>
        <v>7.032659564403245</v>
      </c>
      <c r="E168" s="22" t="str">
        <f>[1]Input_monitoring_data!Q164</f>
        <v>-2.7269217634801843</v>
      </c>
      <c r="F168" s="22" t="str">
        <f>[1]Input_monitoring_data!V164</f>
        <v>Back Of Health Centre</v>
      </c>
      <c r="G168" s="23" t="str">
        <f>[1]Input_monitoring_data!U164</f>
        <v>Borehole</v>
      </c>
      <c r="H168" s="22">
        <f>[1]Input_monitoring_data!X164</f>
        <v>2012</v>
      </c>
      <c r="I168" s="21" t="str">
        <f>[1]Input_monitoring_data!AB164</f>
        <v>Borehole redevelopment</v>
      </c>
      <c r="J168" s="21">
        <f>[1]Input_monitoring_data!AC164</f>
        <v>0</v>
      </c>
      <c r="K168" s="23" t="str">
        <f>[1]Input_monitoring_data!W164</f>
        <v>AfriDev</v>
      </c>
      <c r="L168" s="22">
        <f>[1]Input_monitoring_data!X164</f>
        <v>2012</v>
      </c>
      <c r="M168" s="21">
        <f>IF([1]Input_monitoring_data!BL164&gt;'Point Sources_Asset_Register_'!L168,[1]Input_monitoring_data!BL164,"")</f>
        <v>2014</v>
      </c>
      <c r="N168" s="22" t="str">
        <f>[1]Input_monitoring_data!BQ164</f>
        <v>not functional</v>
      </c>
      <c r="O168" s="22">
        <f>[1]Input_monitoring_data!AJ164</f>
        <v>0</v>
      </c>
      <c r="P168" s="23" t="s">
        <v>0</v>
      </c>
      <c r="Q168" s="22">
        <f>L168</f>
        <v>2012</v>
      </c>
      <c r="R168" s="21">
        <f>M168</f>
        <v>2014</v>
      </c>
      <c r="S168" s="20">
        <f>[1]Input_EUL_CRC_ERC!$B$17-Table1[[#This Row],[Year Installed_WL]]</f>
        <v>5</v>
      </c>
      <c r="T168" s="20">
        <f>[1]Input_EUL_CRC_ERC!$B$17-(IF(Table1[[#This Row],[Year Last_Rehab_WL ]]=0,Table1[[#This Row],[Year Installed_WL]],[1]Input_EUL_CRC_ERC!$B$17-Table1[[#This Row],[Year Last_Rehab_WL ]]))</f>
        <v>5</v>
      </c>
      <c r="U168" s="20">
        <f>(VLOOKUP(Table1[[#This Row],[Item_Rehab_WL]],[1]Input_EUL_CRC_ERC!$C$17:$E$27,2,FALSE)-Table1[[#This Row],[Last Rehab Age]])</f>
        <v>10</v>
      </c>
      <c r="V168" s="19">
        <f>[1]Input_EUL_CRC_ERC!$B$17-Table1[[#This Row],[Year Installed_HP]]</f>
        <v>5</v>
      </c>
      <c r="W168" s="19">
        <f>(VLOOKUP(Table1[[#This Row],[Item_Handpump]],[1]!Table2[#All],2,FALSE))-(IF(Table1[[#This Row],[Year Last_Rehab_HP]]="",Table1[[#This Row],[Current Age_Handpump]],[1]Input_EUL_CRC_ERC!$B$17-Table1[[#This Row],[Year Last_Rehab_HP]]))</f>
        <v>17</v>
      </c>
      <c r="X168" s="19">
        <f>[1]Input_EUL_CRC_ERC!$B$17-Table1[[#This Row],[Year Installed_PF]]</f>
        <v>5</v>
      </c>
      <c r="Y168" s="19">
        <f>(VLOOKUP(Table1[[#This Row],[Item_Platform]],[1]!Table2[#All],2,FALSE))-(IF(Table1[[#This Row],[Year Last_Rehab_PF]]="",Table1[[#This Row],[Current Age_Platform]],[1]Input_EUL_CRC_ERC!$B$17-Table1[[#This Row],[Year Last_Rehab_PF]]))</f>
        <v>7</v>
      </c>
      <c r="Z168" s="25">
        <f>IF(Table1[[#This Row],[Years_Next_Rehab_Well]]&lt;=0,VLOOKUP(Table1[[#This Row],[Item_Rehab_WL]],[1]!Table2[#All],3,FALSE),0)</f>
        <v>0</v>
      </c>
      <c r="AA168" s="18">
        <f>IF(Table1[[#This Row],[Adjusted_ULife_HP]]&lt;=0,VLOOKUP(Table1[[#This Row],[Item_Handpump]],[1]!Table2[#All],3,FALSE),0)</f>
        <v>0</v>
      </c>
      <c r="AB168" s="18">
        <f>IF(Table1[[#This Row],[Adjusted_ULife_PF]]&lt;=0,VLOOKUP(Table1[[#This Row],[Item_Platform]],[1]!Table2[#All],3,FALSE),0)</f>
        <v>0</v>
      </c>
      <c r="AC168" s="18">
        <f>SUM(Table1[[#This Row],[current yr_wl]:[current yr_pf]])</f>
        <v>0</v>
      </c>
      <c r="AD168" s="25">
        <f>IF(Table1[[#This Row],[Years_Next_Rehab_Well]]=1,VLOOKUP(Table1[[#This Row],[Item_Rehab_WL]],[1]!Table2[#All],4,FALSE),0)</f>
        <v>0</v>
      </c>
      <c r="AE168" s="25">
        <f>IF(Table1[[#This Row],[Adjusted_ULife_HP]]=1,VLOOKUP(Table1[[#This Row],[Item_Handpump]],[1]!Table2[#All],4,FALSE),0)</f>
        <v>0</v>
      </c>
      <c r="AF168" s="25">
        <f>IF(Table1[[#This Row],[Adjusted_ULife_PF]]=1,VLOOKUP(Table1[[#This Row],[Item_Platform]],[1]!Table2[#All],4,FALSE),0)</f>
        <v>0</v>
      </c>
      <c r="AG168" s="25">
        <f>SUM(Table1[[#This Row],[yr 1_wl]:[yr 1_pf]])</f>
        <v>0</v>
      </c>
      <c r="AH168" s="25">
        <f>IF(Table1[[#This Row],[Years_Next_Rehab_Well]]=2,VLOOKUP(Table1[[#This Row],[Item_Rehab_WL]],[1]!Table2[#All],5,FALSE),0)</f>
        <v>0</v>
      </c>
      <c r="AI168" s="25">
        <f>IF(Table1[[#This Row],[Adjusted_ULife_HP]]=2,VLOOKUP(Table1[[#This Row],[Item_Handpump]],[1]!Table2[#All],5,FALSE),0)</f>
        <v>0</v>
      </c>
      <c r="AJ168" s="25">
        <f>IF(Table1[[#This Row],[Adjusted_ULife_PF]]=2,VLOOKUP(Table1[[#This Row],[Item_Platform]],[1]!Table2[#All],5,FALSE),0)</f>
        <v>0</v>
      </c>
      <c r="AK168" s="25">
        <f>SUM(Table1[[#This Row],[yr 2_wl]:[yr 2_pf]])</f>
        <v>0</v>
      </c>
      <c r="AL168" s="25">
        <f>IF(Table1[[#This Row],[Years_Next_Rehab_Well]]=3,VLOOKUP(Table1[[#This Row],[Item_Rehab_WL]],[1]!Table2[#All],6,FALSE),0)</f>
        <v>0</v>
      </c>
      <c r="AM168" s="25">
        <f>IF(Table1[[#This Row],[Adjusted_ULife_HP]]=3,VLOOKUP(Table1[[#This Row],[Item_Handpump]],[1]!Table2[#All],6,FALSE),0)</f>
        <v>0</v>
      </c>
      <c r="AN168" s="25">
        <f>IF(Table1[[#This Row],[Adjusted_ULife_PF]]=3,VLOOKUP(Table1[[#This Row],[Item_Platform]],[1]!Table2[#All],6,FALSE),0)</f>
        <v>0</v>
      </c>
      <c r="AO168" s="25">
        <f>SUM(Table1[[#This Row],[yr 3_wl]:[yr 3_pf]])</f>
        <v>0</v>
      </c>
      <c r="AP168" s="25">
        <f>IF(Table1[[#This Row],[Years_Next_Rehab_Well]]=4,VLOOKUP(Table1[[#This Row],[Item_Rehab_WL]],[1]!Table2[#All],7,FALSE),0)</f>
        <v>0</v>
      </c>
      <c r="AQ168" s="25">
        <f>IF(Table1[[#This Row],[Adjusted_ULife_HP]]=4,VLOOKUP(Table1[[#This Row],[Item_Handpump]],[1]!Table2[#All],7,FALSE),0)</f>
        <v>0</v>
      </c>
      <c r="AR168" s="25">
        <f>IF(Table1[[#This Row],[Adjusted_ULife_PF]]=4,VLOOKUP(Table1[[#This Row],[Item_Platform]],[1]!Table2[#All],7,FALSE),0)</f>
        <v>0</v>
      </c>
      <c r="AS168" s="25">
        <f>SUM(Table1[[#This Row],[yr 4_wl]:[yr 4_pf]])</f>
        <v>0</v>
      </c>
      <c r="AT168" s="25">
        <f>IF(Table1[[#This Row],[Years_Next_Rehab_Well]]=5,VLOOKUP(Table1[[#This Row],[Item_Rehab_WL]],[1]!Table2[#All],8,FALSE),0)</f>
        <v>0</v>
      </c>
      <c r="AU168" s="25">
        <f>IF(Table1[[#This Row],[Adjusted_ULife_HP]]=5,VLOOKUP(Table1[[#This Row],[Item_Handpump]],[1]!Table2[#All],8,FALSE),0)</f>
        <v>0</v>
      </c>
      <c r="AV168" s="25">
        <f>IF(Table1[[#This Row],[Adjusted_ULife_PF]]=5,VLOOKUP(Table1[[#This Row],[Item_Platform]],[1]!Table2[#All],8,FALSE),0)</f>
        <v>0</v>
      </c>
      <c r="AW168" s="25">
        <f>SUM(Table1[[#This Row],[yr 5_wl]:[yr 5_pf]])</f>
        <v>0</v>
      </c>
      <c r="AX168" s="25">
        <f>IF(Table1[[#This Row],[Years_Next_Rehab_Well]]=6,VLOOKUP(Table1[[#This Row],[Item_Rehab_WL]],[1]!Table2[#All],9,FALSE),0)</f>
        <v>0</v>
      </c>
      <c r="AY168" s="25">
        <f>IF(Table1[[#This Row],[Adjusted_ULife_HP]]=6,VLOOKUP(Table1[[#This Row],[Item_Handpump]],[1]!Table2[#All],9,FALSE),0)</f>
        <v>0</v>
      </c>
      <c r="AZ168" s="25">
        <f>IF(Table1[[#This Row],[Adjusted_ULife_PF]]=6,VLOOKUP(Table1[[#This Row],[Item_Platform]],[1]!Table2[#All],9,FALSE),0)</f>
        <v>0</v>
      </c>
      <c r="BA168" s="25">
        <f>SUM(Table1[[#This Row],[yr 6_wl]:[yr 6_pf]])</f>
        <v>0</v>
      </c>
      <c r="BB168" s="25">
        <f>IF(Table1[[#This Row],[Years_Next_Rehab_Well]]=7,VLOOKUP(Table1[[#This Row],[Item_Rehab_WL]],[1]!Table2[#All],10,FALSE),0)</f>
        <v>0</v>
      </c>
      <c r="BC168" s="25">
        <f>IF(Table1[[#This Row],[Adjusted_ULife_HP]]=7,VLOOKUP(Table1[[#This Row],[Item_Handpump]],[1]!Table2[#All],10,FALSE),0)</f>
        <v>0</v>
      </c>
      <c r="BD168" s="25">
        <f>IF(Table1[[#This Row],[Adjusted_ULife_PF]]=7,VLOOKUP(Table1[[#This Row],[Item_Platform]],[1]!Table2[#All],10,FALSE),0)</f>
        <v>3316.0221111091228</v>
      </c>
      <c r="BE168" s="25">
        <f>SUM(Table1[[#This Row],[yr 7_wl]:[yr 7_pf]])</f>
        <v>3316.0221111091228</v>
      </c>
      <c r="BF168" s="25">
        <f>IF(Table1[[#This Row],[Years_Next_Rehab_Well]]=8,VLOOKUP(Table1[[#This Row],[Item_Rehab_WL]],[1]!Table2[#All],11,FALSE),0)</f>
        <v>0</v>
      </c>
      <c r="BG168" s="25">
        <f>IF(Table1[[#This Row],[Adjusted_ULife_HP]]=8,VLOOKUP(Table1[[#This Row],[Item_Handpump]],[1]!Table2[#All],11,FALSE),0)</f>
        <v>0</v>
      </c>
      <c r="BH168" s="25">
        <f>IF(Table1[[#This Row],[Adjusted_ULife_PF]]=8,VLOOKUP(Table1[[#This Row],[Item_Platform]],[1]!Table2[#All],11,FALSE),0)</f>
        <v>0</v>
      </c>
      <c r="BI168" s="25">
        <f>SUM(Table1[[#This Row],[yr 8_wl]:[yr 8_pf]])</f>
        <v>0</v>
      </c>
      <c r="BJ168" s="25">
        <f>IF(Table1[[#This Row],[Years_Next_Rehab_Well]]=9,VLOOKUP(Table1[[#This Row],[Item_Rehab_WL]],[1]!Table2[#All],12,FALSE),0)</f>
        <v>0</v>
      </c>
      <c r="BK168" s="25">
        <f>IF(Table1[[#This Row],[Adjusted_ULife_HP]]=9,VLOOKUP(Table1[[#This Row],[Item_Handpump]],[1]!Table2[#All],12,FALSE),0)</f>
        <v>0</v>
      </c>
      <c r="BL168" s="25">
        <f>IF(Table1[[#This Row],[Adjusted_ULife_PF]]=9,VLOOKUP(Table1[[#This Row],[Item_Platform]],[1]!Table2[#All],12,FALSE),0)</f>
        <v>0</v>
      </c>
      <c r="BM168" s="25">
        <f>SUM(Table1[[#This Row],[yr 9_wl]:[yr 9_pf]])</f>
        <v>0</v>
      </c>
      <c r="BN168" s="25">
        <f>IF(Table1[[#This Row],[Years_Next_Rehab_Well]]=10,VLOOKUP(Table1[[#This Row],[Item_Rehab_WL]],[1]!Table2[#All],13,FALSE),0)</f>
        <v>11388.110097262112</v>
      </c>
      <c r="BO168" s="25">
        <f>IF(Table1[[#This Row],[Adjusted_ULife_HP]]=10,VLOOKUP(Table1[[#This Row],[Item_Handpump]],[1]!Table2[#All],13,FALSE),0)</f>
        <v>0</v>
      </c>
      <c r="BP168" s="25">
        <f>IF(Table1[[#This Row],[Adjusted_ULife_PF]]=10,VLOOKUP(Table1[[#This Row],[Item_Platform]],[1]!Table2[#All],13,FALSE),0)</f>
        <v>0</v>
      </c>
      <c r="BQ168" s="25">
        <f>SUM(Table1[[#This Row],[yr 10_wl]:[yr 10_pf]])</f>
        <v>11388.110097262112</v>
      </c>
      <c r="BR168" s="25">
        <f>IF(Table1[[#This Row],[Years_Next_Rehab_Well]]=11,VLOOKUP(Table1[[#This Row],[Item_Rehab_WL]],[1]!Table2[#All],14,FALSE),0)</f>
        <v>0</v>
      </c>
      <c r="BS168" s="25">
        <f>IF(Table1[[#This Row],[Adjusted_ULife_HP]]=11,VLOOKUP(Table1[[#This Row],[Item_Handpump]],[1]!Table2[#All],14,FALSE),0)</f>
        <v>0</v>
      </c>
      <c r="BT168" s="25">
        <f>IF(Table1[[#This Row],[Adjusted_ULife_PF]]=11,VLOOKUP(Table1[[#This Row],[Item_Platform]],[1]!Table2[#All],14,FALSE),0)</f>
        <v>0</v>
      </c>
      <c r="BU168" s="25">
        <f>SUM(Table1[[#This Row],[yr 11_wl]:[yr 11_pf]])</f>
        <v>0</v>
      </c>
      <c r="BV168" s="25">
        <f>IF(Table1[[#This Row],[Years_Next_Rehab_Well]]=12,VLOOKUP(Table1[[#This Row],[Item_Rehab_WL]],[1]!Table2[#All],15,FALSE),0)</f>
        <v>0</v>
      </c>
      <c r="BW168" s="25">
        <f>IF(Table1[[#This Row],[Adjusted_ULife_HP]]=12,VLOOKUP(Table1[[#This Row],[Item_Handpump]],[1]!Table2[#All],15,FALSE),0)</f>
        <v>0</v>
      </c>
      <c r="BX168" s="25">
        <f>IF(Table1[[#This Row],[Adjusted_ULife_PF]]=12,VLOOKUP(Table1[[#This Row],[Item_Platform]],[1]!Table2[#All],15,FALSE),0)</f>
        <v>0</v>
      </c>
      <c r="BY168" s="25">
        <f>SUM(Table1[[#This Row],[yr 12_wl]:[yr 12_pf]])</f>
        <v>0</v>
      </c>
      <c r="BZ168" s="25">
        <f>IF(Table1[[#This Row],[Years_Next_Rehab_Well]]=13,VLOOKUP(Table1[[#This Row],[Item_Rehab_WL]],[1]!Table2[#All],16,FALSE),0)</f>
        <v>0</v>
      </c>
      <c r="CA168" s="25">
        <f>IF(Table1[[#This Row],[Adjusted_ULife_HP]]=13,VLOOKUP(Table1[[#This Row],[Item_Handpump]],[1]!Table2[#All],16,FALSE),0)</f>
        <v>0</v>
      </c>
      <c r="CB168" s="25">
        <f>IF(Table1[[#This Row],[Adjusted_ULife_PF]]=13,VLOOKUP(Table1[[#This Row],[Item_Platform]],[1]!Table2[#All],16,FALSE),0)</f>
        <v>0</v>
      </c>
      <c r="CC168" s="25">
        <f>SUM(Table1[[#This Row],[yr 13_wl]:[yr 13_pf]])</f>
        <v>0</v>
      </c>
      <c r="CD168" s="12"/>
    </row>
    <row r="169" spans="1:82" s="11" customFormat="1" x14ac:dyDescent="0.25">
      <c r="A169" s="11" t="str">
        <f>IF([1]Input_monitoring_data!A165="","",[1]Input_monitoring_data!A165)</f>
        <v>xen1-pmqc-pn4f</v>
      </c>
      <c r="B169" s="22" t="str">
        <f>[1]Input_monitoring_data!BH165</f>
        <v>Ntotroso</v>
      </c>
      <c r="C169" s="22" t="str">
        <f>[1]Input_monitoring_data!BI165</f>
        <v>Osei Yaw</v>
      </c>
      <c r="D169" s="22" t="str">
        <f>[1]Input_monitoring_data!P165</f>
        <v>7.071215128443168</v>
      </c>
      <c r="E169" s="22" t="str">
        <f>[1]Input_monitoring_data!Q165</f>
        <v>-2.4393673541254164</v>
      </c>
      <c r="F169" s="22" t="str">
        <f>[1]Input_monitoring_data!V165</f>
        <v>Along Kromokrom Road</v>
      </c>
      <c r="G169" s="23" t="str">
        <f>[1]Input_monitoring_data!U165</f>
        <v>Borehole</v>
      </c>
      <c r="H169" s="22">
        <f>[1]Input_monitoring_data!X165</f>
        <v>2013</v>
      </c>
      <c r="I169" s="21" t="str">
        <f>[1]Input_monitoring_data!AB165</f>
        <v>Borehole redevelopment</v>
      </c>
      <c r="J169" s="21">
        <f>[1]Input_monitoring_data!AC165</f>
        <v>0</v>
      </c>
      <c r="K169" s="23" t="str">
        <f>[1]Input_monitoring_data!W165</f>
        <v>Solar Pump</v>
      </c>
      <c r="L169" s="22">
        <f>[1]Input_monitoring_data!X165</f>
        <v>2013</v>
      </c>
      <c r="M169" s="21" t="str">
        <f>IF([1]Input_monitoring_data!BL165&gt;'Point Sources_Asset_Register_'!L169,[1]Input_monitoring_data!BL165,"")</f>
        <v/>
      </c>
      <c r="N169" s="22" t="str">
        <f>[1]Input_monitoring_data!BQ165</f>
        <v>functional</v>
      </c>
      <c r="O169" s="22">
        <f>[1]Input_monitoring_data!AJ165</f>
        <v>0</v>
      </c>
      <c r="P169" s="23" t="s">
        <v>0</v>
      </c>
      <c r="Q169" s="22">
        <f>L169</f>
        <v>2013</v>
      </c>
      <c r="R169" s="21" t="str">
        <f>M169</f>
        <v/>
      </c>
      <c r="S169" s="20">
        <f>[1]Input_EUL_CRC_ERC!$B$17-Table1[[#This Row],[Year Installed_WL]]</f>
        <v>4</v>
      </c>
      <c r="T169" s="20">
        <f>[1]Input_EUL_CRC_ERC!$B$17-(IF(Table1[[#This Row],[Year Last_Rehab_WL ]]=0,Table1[[#This Row],[Year Installed_WL]],[1]Input_EUL_CRC_ERC!$B$17-Table1[[#This Row],[Year Last_Rehab_WL ]]))</f>
        <v>4</v>
      </c>
      <c r="U169" s="20">
        <f>(VLOOKUP(Table1[[#This Row],[Item_Rehab_WL]],[1]Input_EUL_CRC_ERC!$C$17:$E$27,2,FALSE)-Table1[[#This Row],[Last Rehab Age]])</f>
        <v>11</v>
      </c>
      <c r="V169" s="19">
        <f>[1]Input_EUL_CRC_ERC!$B$17-Table1[[#This Row],[Year Installed_HP]]</f>
        <v>4</v>
      </c>
      <c r="W169" s="19">
        <f>(VLOOKUP(Table1[[#This Row],[Item_Handpump]],[1]!Table2[#All],2,FALSE))-(IF(Table1[[#This Row],[Year Last_Rehab_HP]]="",Table1[[#This Row],[Current Age_Handpump]],[1]Input_EUL_CRC_ERC!$B$17-Table1[[#This Row],[Year Last_Rehab_HP]]))</f>
        <v>6</v>
      </c>
      <c r="X169" s="19">
        <f>[1]Input_EUL_CRC_ERC!$B$17-Table1[[#This Row],[Year Installed_PF]]</f>
        <v>4</v>
      </c>
      <c r="Y169" s="19">
        <f>(VLOOKUP(Table1[[#This Row],[Item_Platform]],[1]!Table2[#All],2,FALSE))-(IF(Table1[[#This Row],[Year Last_Rehab_PF]]="",Table1[[#This Row],[Current Age_Platform]],[1]Input_EUL_CRC_ERC!$B$17-Table1[[#This Row],[Year Last_Rehab_PF]]))</f>
        <v>6</v>
      </c>
      <c r="Z169" s="25">
        <f>IF(Table1[[#This Row],[Years_Next_Rehab_Well]]&lt;=0,VLOOKUP(Table1[[#This Row],[Item_Rehab_WL]],[1]!Table2[#All],3,FALSE),0)</f>
        <v>0</v>
      </c>
      <c r="AA169" s="18">
        <f>IF(Table1[[#This Row],[Adjusted_ULife_HP]]&lt;=0,VLOOKUP(Table1[[#This Row],[Item_Handpump]],[1]!Table2[#All],3,FALSE),0)</f>
        <v>0</v>
      </c>
      <c r="AB169" s="18">
        <f>IF(Table1[[#This Row],[Adjusted_ULife_PF]]&lt;=0,VLOOKUP(Table1[[#This Row],[Item_Platform]],[1]!Table2[#All],3,FALSE),0)</f>
        <v>0</v>
      </c>
      <c r="AC169" s="18">
        <f>SUM(Table1[[#This Row],[current yr_wl]:[current yr_pf]])</f>
        <v>0</v>
      </c>
      <c r="AD169" s="25">
        <f>IF(Table1[[#This Row],[Years_Next_Rehab_Well]]=1,VLOOKUP(Table1[[#This Row],[Item_Rehab_WL]],[1]!Table2[#All],4,FALSE),0)</f>
        <v>0</v>
      </c>
      <c r="AE169" s="25">
        <f>IF(Table1[[#This Row],[Adjusted_ULife_HP]]=1,VLOOKUP(Table1[[#This Row],[Item_Handpump]],[1]!Table2[#All],4,FALSE),0)</f>
        <v>0</v>
      </c>
      <c r="AF169" s="25">
        <f>IF(Table1[[#This Row],[Adjusted_ULife_PF]]=1,VLOOKUP(Table1[[#This Row],[Item_Platform]],[1]!Table2[#All],4,FALSE),0)</f>
        <v>0</v>
      </c>
      <c r="AG169" s="25">
        <f>SUM(Table1[[#This Row],[yr 1_wl]:[yr 1_pf]])</f>
        <v>0</v>
      </c>
      <c r="AH169" s="25">
        <f>IF(Table1[[#This Row],[Years_Next_Rehab_Well]]=2,VLOOKUP(Table1[[#This Row],[Item_Rehab_WL]],[1]!Table2[#All],5,FALSE),0)</f>
        <v>0</v>
      </c>
      <c r="AI169" s="25">
        <f>IF(Table1[[#This Row],[Adjusted_ULife_HP]]=2,VLOOKUP(Table1[[#This Row],[Item_Handpump]],[1]!Table2[#All],5,FALSE),0)</f>
        <v>0</v>
      </c>
      <c r="AJ169" s="25">
        <f>IF(Table1[[#This Row],[Adjusted_ULife_PF]]=2,VLOOKUP(Table1[[#This Row],[Item_Platform]],[1]!Table2[#All],5,FALSE),0)</f>
        <v>0</v>
      </c>
      <c r="AK169" s="25">
        <f>SUM(Table1[[#This Row],[yr 2_wl]:[yr 2_pf]])</f>
        <v>0</v>
      </c>
      <c r="AL169" s="25">
        <f>IF(Table1[[#This Row],[Years_Next_Rehab_Well]]=3,VLOOKUP(Table1[[#This Row],[Item_Rehab_WL]],[1]!Table2[#All],6,FALSE),0)</f>
        <v>0</v>
      </c>
      <c r="AM169" s="25">
        <f>IF(Table1[[#This Row],[Adjusted_ULife_HP]]=3,VLOOKUP(Table1[[#This Row],[Item_Handpump]],[1]!Table2[#All],6,FALSE),0)</f>
        <v>0</v>
      </c>
      <c r="AN169" s="25">
        <f>IF(Table1[[#This Row],[Adjusted_ULife_PF]]=3,VLOOKUP(Table1[[#This Row],[Item_Platform]],[1]!Table2[#All],6,FALSE),0)</f>
        <v>0</v>
      </c>
      <c r="AO169" s="25">
        <f>SUM(Table1[[#This Row],[yr 3_wl]:[yr 3_pf]])</f>
        <v>0</v>
      </c>
      <c r="AP169" s="25">
        <f>IF(Table1[[#This Row],[Years_Next_Rehab_Well]]=4,VLOOKUP(Table1[[#This Row],[Item_Rehab_WL]],[1]!Table2[#All],7,FALSE),0)</f>
        <v>0</v>
      </c>
      <c r="AQ169" s="25">
        <f>IF(Table1[[#This Row],[Adjusted_ULife_HP]]=4,VLOOKUP(Table1[[#This Row],[Item_Handpump]],[1]!Table2[#All],7,FALSE),0)</f>
        <v>0</v>
      </c>
      <c r="AR169" s="25">
        <f>IF(Table1[[#This Row],[Adjusted_ULife_PF]]=4,VLOOKUP(Table1[[#This Row],[Item_Platform]],[1]!Table2[#All],7,FALSE),0)</f>
        <v>0</v>
      </c>
      <c r="AS169" s="25">
        <f>SUM(Table1[[#This Row],[yr 4_wl]:[yr 4_pf]])</f>
        <v>0</v>
      </c>
      <c r="AT169" s="25">
        <f>IF(Table1[[#This Row],[Years_Next_Rehab_Well]]=5,VLOOKUP(Table1[[#This Row],[Item_Rehab_WL]],[1]!Table2[#All],8,FALSE),0)</f>
        <v>0</v>
      </c>
      <c r="AU169" s="25">
        <f>IF(Table1[[#This Row],[Adjusted_ULife_HP]]=5,VLOOKUP(Table1[[#This Row],[Item_Handpump]],[1]!Table2[#All],8,FALSE),0)</f>
        <v>0</v>
      </c>
      <c r="AV169" s="25">
        <f>IF(Table1[[#This Row],[Adjusted_ULife_PF]]=5,VLOOKUP(Table1[[#This Row],[Item_Platform]],[1]!Table2[#All],8,FALSE),0)</f>
        <v>0</v>
      </c>
      <c r="AW169" s="25">
        <f>SUM(Table1[[#This Row],[yr 5_wl]:[yr 5_pf]])</f>
        <v>0</v>
      </c>
      <c r="AX169" s="25">
        <f>IF(Table1[[#This Row],[Years_Next_Rehab_Well]]=6,VLOOKUP(Table1[[#This Row],[Item_Rehab_WL]],[1]!Table2[#All],9,FALSE),0)</f>
        <v>0</v>
      </c>
      <c r="AY169" s="25">
        <f>IF(Table1[[#This Row],[Adjusted_ULife_HP]]=6,VLOOKUP(Table1[[#This Row],[Item_Handpump]],[1]!Table2[#All],9,FALSE),0)</f>
        <v>789.52907407360033</v>
      </c>
      <c r="AZ169" s="25">
        <f>IF(Table1[[#This Row],[Adjusted_ULife_PF]]=6,VLOOKUP(Table1[[#This Row],[Item_Platform]],[1]!Table2[#All],9,FALSE),0)</f>
        <v>2960.7340277760022</v>
      </c>
      <c r="BA169" s="25">
        <f>SUM(Table1[[#This Row],[yr 6_wl]:[yr 6_pf]])</f>
        <v>3750.2631018496027</v>
      </c>
      <c r="BB169" s="25">
        <f>IF(Table1[[#This Row],[Years_Next_Rehab_Well]]=7,VLOOKUP(Table1[[#This Row],[Item_Rehab_WL]],[1]!Table2[#All],10,FALSE),0)</f>
        <v>0</v>
      </c>
      <c r="BC169" s="25">
        <f>IF(Table1[[#This Row],[Adjusted_ULife_HP]]=7,VLOOKUP(Table1[[#This Row],[Item_Handpump]],[1]!Table2[#All],10,FALSE),0)</f>
        <v>0</v>
      </c>
      <c r="BD169" s="25">
        <f>IF(Table1[[#This Row],[Adjusted_ULife_PF]]=7,VLOOKUP(Table1[[#This Row],[Item_Platform]],[1]!Table2[#All],10,FALSE),0)</f>
        <v>0</v>
      </c>
      <c r="BE169" s="25">
        <f>SUM(Table1[[#This Row],[yr 7_wl]:[yr 7_pf]])</f>
        <v>0</v>
      </c>
      <c r="BF169" s="25">
        <f>IF(Table1[[#This Row],[Years_Next_Rehab_Well]]=8,VLOOKUP(Table1[[#This Row],[Item_Rehab_WL]],[1]!Table2[#All],11,FALSE),0)</f>
        <v>0</v>
      </c>
      <c r="BG169" s="25">
        <f>IF(Table1[[#This Row],[Adjusted_ULife_HP]]=8,VLOOKUP(Table1[[#This Row],[Item_Handpump]],[1]!Table2[#All],11,FALSE),0)</f>
        <v>0</v>
      </c>
      <c r="BH169" s="25">
        <f>IF(Table1[[#This Row],[Adjusted_ULife_PF]]=8,VLOOKUP(Table1[[#This Row],[Item_Platform]],[1]!Table2[#All],11,FALSE),0)</f>
        <v>0</v>
      </c>
      <c r="BI169" s="25">
        <f>SUM(Table1[[#This Row],[yr 8_wl]:[yr 8_pf]])</f>
        <v>0</v>
      </c>
      <c r="BJ169" s="25">
        <f>IF(Table1[[#This Row],[Years_Next_Rehab_Well]]=9,VLOOKUP(Table1[[#This Row],[Item_Rehab_WL]],[1]!Table2[#All],12,FALSE),0)</f>
        <v>0</v>
      </c>
      <c r="BK169" s="25">
        <f>IF(Table1[[#This Row],[Adjusted_ULife_HP]]=9,VLOOKUP(Table1[[#This Row],[Item_Handpump]],[1]!Table2[#All],12,FALSE),0)</f>
        <v>0</v>
      </c>
      <c r="BL169" s="25">
        <f>IF(Table1[[#This Row],[Adjusted_ULife_PF]]=9,VLOOKUP(Table1[[#This Row],[Item_Platform]],[1]!Table2[#All],12,FALSE),0)</f>
        <v>0</v>
      </c>
      <c r="BM169" s="25">
        <f>SUM(Table1[[#This Row],[yr 9_wl]:[yr 9_pf]])</f>
        <v>0</v>
      </c>
      <c r="BN169" s="25">
        <f>IF(Table1[[#This Row],[Years_Next_Rehab_Well]]=10,VLOOKUP(Table1[[#This Row],[Item_Rehab_WL]],[1]!Table2[#All],13,FALSE),0)</f>
        <v>0</v>
      </c>
      <c r="BO169" s="25">
        <f>IF(Table1[[#This Row],[Adjusted_ULife_HP]]=10,VLOOKUP(Table1[[#This Row],[Item_Handpump]],[1]!Table2[#All],13,FALSE),0)</f>
        <v>0</v>
      </c>
      <c r="BP169" s="25">
        <f>IF(Table1[[#This Row],[Adjusted_ULife_PF]]=10,VLOOKUP(Table1[[#This Row],[Item_Platform]],[1]!Table2[#All],13,FALSE),0)</f>
        <v>0</v>
      </c>
      <c r="BQ169" s="25">
        <f>SUM(Table1[[#This Row],[yr 10_wl]:[yr 10_pf]])</f>
        <v>0</v>
      </c>
      <c r="BR169" s="25">
        <f>IF(Table1[[#This Row],[Years_Next_Rehab_Well]]=11,VLOOKUP(Table1[[#This Row],[Item_Rehab_WL]],[1]!Table2[#All],14,FALSE),0)</f>
        <v>12754.683308933567</v>
      </c>
      <c r="BS169" s="25">
        <f>IF(Table1[[#This Row],[Adjusted_ULife_HP]]=11,VLOOKUP(Table1[[#This Row],[Item_Handpump]],[1]!Table2[#All],14,FALSE),0)</f>
        <v>0</v>
      </c>
      <c r="BT169" s="25">
        <f>IF(Table1[[#This Row],[Adjusted_ULife_PF]]=11,VLOOKUP(Table1[[#This Row],[Item_Platform]],[1]!Table2[#All],14,FALSE),0)</f>
        <v>0</v>
      </c>
      <c r="BU169" s="25">
        <f>SUM(Table1[[#This Row],[yr 11_wl]:[yr 11_pf]])</f>
        <v>12754.683308933567</v>
      </c>
      <c r="BV169" s="25">
        <f>IF(Table1[[#This Row],[Years_Next_Rehab_Well]]=12,VLOOKUP(Table1[[#This Row],[Item_Rehab_WL]],[1]!Table2[#All],15,FALSE),0)</f>
        <v>0</v>
      </c>
      <c r="BW169" s="25">
        <f>IF(Table1[[#This Row],[Adjusted_ULife_HP]]=12,VLOOKUP(Table1[[#This Row],[Item_Handpump]],[1]!Table2[#All],15,FALSE),0)</f>
        <v>0</v>
      </c>
      <c r="BX169" s="25">
        <f>IF(Table1[[#This Row],[Adjusted_ULife_PF]]=12,VLOOKUP(Table1[[#This Row],[Item_Platform]],[1]!Table2[#All],15,FALSE),0)</f>
        <v>0</v>
      </c>
      <c r="BY169" s="25">
        <f>SUM(Table1[[#This Row],[yr 12_wl]:[yr 12_pf]])</f>
        <v>0</v>
      </c>
      <c r="BZ169" s="25">
        <f>IF(Table1[[#This Row],[Years_Next_Rehab_Well]]=13,VLOOKUP(Table1[[#This Row],[Item_Rehab_WL]],[1]!Table2[#All],16,FALSE),0)</f>
        <v>0</v>
      </c>
      <c r="CA169" s="25">
        <f>IF(Table1[[#This Row],[Adjusted_ULife_HP]]=13,VLOOKUP(Table1[[#This Row],[Item_Handpump]],[1]!Table2[#All],16,FALSE),0)</f>
        <v>0</v>
      </c>
      <c r="CB169" s="25">
        <f>IF(Table1[[#This Row],[Adjusted_ULife_PF]]=13,VLOOKUP(Table1[[#This Row],[Item_Platform]],[1]!Table2[#All],16,FALSE),0)</f>
        <v>0</v>
      </c>
      <c r="CC169" s="25">
        <f>SUM(Table1[[#This Row],[yr 13_wl]:[yr 13_pf]])</f>
        <v>0</v>
      </c>
      <c r="CD169" s="12"/>
    </row>
    <row r="170" spans="1:82" s="11" customFormat="1" x14ac:dyDescent="0.25">
      <c r="A170" s="11" t="str">
        <f>IF([1]Input_monitoring_data!A166="","",[1]Input_monitoring_data!A166)</f>
        <v>xrp8-fub1-ep9j</v>
      </c>
      <c r="B170" s="22" t="str">
        <f>[1]Input_monitoring_data!BH166</f>
        <v>Gambia</v>
      </c>
      <c r="C170" s="22" t="str">
        <f>[1]Input_monitoring_data!BI166</f>
        <v>Kwabena Afo</v>
      </c>
      <c r="D170" s="22" t="str">
        <f>[1]Input_monitoring_data!P166</f>
        <v>7.052348496998605</v>
      </c>
      <c r="E170" s="22" t="str">
        <f>[1]Input_monitoring_data!Q166</f>
        <v>-2.741902939743086</v>
      </c>
      <c r="F170" s="22" t="str">
        <f>[1]Input_monitoring_data!V166</f>
        <v>Near Nana Kwabena Afo'House</v>
      </c>
      <c r="G170" s="23" t="str">
        <f>[1]Input_monitoring_data!U166</f>
        <v>Borehole</v>
      </c>
      <c r="H170" s="22">
        <f>[1]Input_monitoring_data!X166</f>
        <v>2004</v>
      </c>
      <c r="I170" s="21" t="str">
        <f>[1]Input_monitoring_data!AB166</f>
        <v>Borehole redevelopment</v>
      </c>
      <c r="J170" s="21">
        <f>[1]Input_monitoring_data!AC166</f>
        <v>0</v>
      </c>
      <c r="K170" s="23" t="str">
        <f>[1]Input_monitoring_data!W166</f>
        <v>AfriDev</v>
      </c>
      <c r="L170" s="22">
        <f>[1]Input_monitoring_data!X166</f>
        <v>2004</v>
      </c>
      <c r="M170" s="21" t="str">
        <f>IF([1]Input_monitoring_data!BL166&gt;'Point Sources_Asset_Register_'!L170,[1]Input_monitoring_data!BL166,"")</f>
        <v/>
      </c>
      <c r="N170" s="22" t="str">
        <f>[1]Input_monitoring_data!BQ166</f>
        <v>partially functional</v>
      </c>
      <c r="O170" s="22">
        <f>[1]Input_monitoring_data!AJ166</f>
        <v>0</v>
      </c>
      <c r="P170" s="23" t="s">
        <v>0</v>
      </c>
      <c r="Q170" s="22">
        <f>L170</f>
        <v>2004</v>
      </c>
      <c r="R170" s="21" t="str">
        <f>M170</f>
        <v/>
      </c>
      <c r="S170" s="20">
        <f>[1]Input_EUL_CRC_ERC!$B$17-Table1[[#This Row],[Year Installed_WL]]</f>
        <v>13</v>
      </c>
      <c r="T170" s="20">
        <f>[1]Input_EUL_CRC_ERC!$B$17-(IF(Table1[[#This Row],[Year Last_Rehab_WL ]]=0,Table1[[#This Row],[Year Installed_WL]],[1]Input_EUL_CRC_ERC!$B$17-Table1[[#This Row],[Year Last_Rehab_WL ]]))</f>
        <v>13</v>
      </c>
      <c r="U170" s="20">
        <f>(VLOOKUP(Table1[[#This Row],[Item_Rehab_WL]],[1]Input_EUL_CRC_ERC!$C$17:$E$27,2,FALSE)-Table1[[#This Row],[Last Rehab Age]])</f>
        <v>2</v>
      </c>
      <c r="V170" s="19">
        <f>[1]Input_EUL_CRC_ERC!$B$17-Table1[[#This Row],[Year Installed_HP]]</f>
        <v>13</v>
      </c>
      <c r="W170" s="19">
        <f>(VLOOKUP(Table1[[#This Row],[Item_Handpump]],[1]!Table2[#All],2,FALSE))-(IF(Table1[[#This Row],[Year Last_Rehab_HP]]="",Table1[[#This Row],[Current Age_Handpump]],[1]Input_EUL_CRC_ERC!$B$17-Table1[[#This Row],[Year Last_Rehab_HP]]))</f>
        <v>7</v>
      </c>
      <c r="X170" s="19">
        <f>[1]Input_EUL_CRC_ERC!$B$17-Table1[[#This Row],[Year Installed_PF]]</f>
        <v>13</v>
      </c>
      <c r="Y170" s="19">
        <f>(VLOOKUP(Table1[[#This Row],[Item_Platform]],[1]!Table2[#All],2,FALSE))-(IF(Table1[[#This Row],[Year Last_Rehab_PF]]="",Table1[[#This Row],[Current Age_Platform]],[1]Input_EUL_CRC_ERC!$B$17-Table1[[#This Row],[Year Last_Rehab_PF]]))</f>
        <v>-3</v>
      </c>
      <c r="Z170" s="25">
        <f>IF(Table1[[#This Row],[Years_Next_Rehab_Well]]&lt;=0,VLOOKUP(Table1[[#This Row],[Item_Rehab_WL]],[1]!Table2[#All],3,FALSE),0)</f>
        <v>0</v>
      </c>
      <c r="AA170" s="18">
        <f>IF(Table1[[#This Row],[Adjusted_ULife_HP]]&lt;=0,VLOOKUP(Table1[[#This Row],[Item_Handpump]],[1]!Table2[#All],3,FALSE),0)</f>
        <v>0</v>
      </c>
      <c r="AB170" s="18">
        <f>IF(Table1[[#This Row],[Adjusted_ULife_PF]]&lt;=0,VLOOKUP(Table1[[#This Row],[Item_Platform]],[1]!Table2[#All],3,FALSE),0)</f>
        <v>1500</v>
      </c>
      <c r="AC170" s="18">
        <f>SUM(Table1[[#This Row],[current yr_wl]:[current yr_pf]])</f>
        <v>1500</v>
      </c>
      <c r="AD170" s="25">
        <f>IF(Table1[[#This Row],[Years_Next_Rehab_Well]]=1,VLOOKUP(Table1[[#This Row],[Item_Rehab_WL]],[1]!Table2[#All],4,FALSE),0)</f>
        <v>0</v>
      </c>
      <c r="AE170" s="25">
        <f>IF(Table1[[#This Row],[Adjusted_ULife_HP]]=1,VLOOKUP(Table1[[#This Row],[Item_Handpump]],[1]!Table2[#All],4,FALSE),0)</f>
        <v>0</v>
      </c>
      <c r="AF170" s="25">
        <f>IF(Table1[[#This Row],[Adjusted_ULife_PF]]=1,VLOOKUP(Table1[[#This Row],[Item_Platform]],[1]!Table2[#All],4,FALSE),0)</f>
        <v>0</v>
      </c>
      <c r="AG170" s="25">
        <f>SUM(Table1[[#This Row],[yr 1_wl]:[yr 1_pf]])</f>
        <v>0</v>
      </c>
      <c r="AH170" s="25">
        <f>IF(Table1[[#This Row],[Years_Next_Rehab_Well]]=2,VLOOKUP(Table1[[#This Row],[Item_Rehab_WL]],[1]!Table2[#All],5,FALSE),0)</f>
        <v>4599.4666666666672</v>
      </c>
      <c r="AI170" s="25">
        <f>IF(Table1[[#This Row],[Adjusted_ULife_HP]]=2,VLOOKUP(Table1[[#This Row],[Item_Handpump]],[1]!Table2[#All],5,FALSE),0)</f>
        <v>0</v>
      </c>
      <c r="AJ170" s="25">
        <f>IF(Table1[[#This Row],[Adjusted_ULife_PF]]=2,VLOOKUP(Table1[[#This Row],[Item_Platform]],[1]!Table2[#All],5,FALSE),0)</f>
        <v>0</v>
      </c>
      <c r="AK170" s="25">
        <f>SUM(Table1[[#This Row],[yr 2_wl]:[yr 2_pf]])</f>
        <v>4599.4666666666672</v>
      </c>
      <c r="AL170" s="25">
        <f>IF(Table1[[#This Row],[Years_Next_Rehab_Well]]=3,VLOOKUP(Table1[[#This Row],[Item_Rehab_WL]],[1]!Table2[#All],6,FALSE),0)</f>
        <v>0</v>
      </c>
      <c r="AM170" s="25">
        <f>IF(Table1[[#This Row],[Adjusted_ULife_HP]]=3,VLOOKUP(Table1[[#This Row],[Item_Handpump]],[1]!Table2[#All],6,FALSE),0)</f>
        <v>0</v>
      </c>
      <c r="AN170" s="25">
        <f>IF(Table1[[#This Row],[Adjusted_ULife_PF]]=3,VLOOKUP(Table1[[#This Row],[Item_Platform]],[1]!Table2[#All],6,FALSE),0)</f>
        <v>0</v>
      </c>
      <c r="AO170" s="25">
        <f>SUM(Table1[[#This Row],[yr 3_wl]:[yr 3_pf]])</f>
        <v>0</v>
      </c>
      <c r="AP170" s="25">
        <f>IF(Table1[[#This Row],[Years_Next_Rehab_Well]]=4,VLOOKUP(Table1[[#This Row],[Item_Rehab_WL]],[1]!Table2[#All],7,FALSE),0)</f>
        <v>0</v>
      </c>
      <c r="AQ170" s="25">
        <f>IF(Table1[[#This Row],[Adjusted_ULife_HP]]=4,VLOOKUP(Table1[[#This Row],[Item_Handpump]],[1]!Table2[#All],7,FALSE),0)</f>
        <v>0</v>
      </c>
      <c r="AR170" s="25">
        <f>IF(Table1[[#This Row],[Adjusted_ULife_PF]]=4,VLOOKUP(Table1[[#This Row],[Item_Platform]],[1]!Table2[#All],7,FALSE),0)</f>
        <v>0</v>
      </c>
      <c r="AS170" s="25">
        <f>SUM(Table1[[#This Row],[yr 4_wl]:[yr 4_pf]])</f>
        <v>0</v>
      </c>
      <c r="AT170" s="25">
        <f>IF(Table1[[#This Row],[Years_Next_Rehab_Well]]=5,VLOOKUP(Table1[[#This Row],[Item_Rehab_WL]],[1]!Table2[#All],8,FALSE),0)</f>
        <v>0</v>
      </c>
      <c r="AU170" s="25">
        <f>IF(Table1[[#This Row],[Adjusted_ULife_HP]]=5,VLOOKUP(Table1[[#This Row],[Item_Handpump]],[1]!Table2[#All],8,FALSE),0)</f>
        <v>0</v>
      </c>
      <c r="AV170" s="25">
        <f>IF(Table1[[#This Row],[Adjusted_ULife_PF]]=5,VLOOKUP(Table1[[#This Row],[Item_Platform]],[1]!Table2[#All],8,FALSE),0)</f>
        <v>0</v>
      </c>
      <c r="AW170" s="25">
        <f>SUM(Table1[[#This Row],[yr 5_wl]:[yr 5_pf]])</f>
        <v>0</v>
      </c>
      <c r="AX170" s="25">
        <f>IF(Table1[[#This Row],[Years_Next_Rehab_Well]]=6,VLOOKUP(Table1[[#This Row],[Item_Rehab_WL]],[1]!Table2[#All],9,FALSE),0)</f>
        <v>0</v>
      </c>
      <c r="AY170" s="25">
        <f>IF(Table1[[#This Row],[Adjusted_ULife_HP]]=6,VLOOKUP(Table1[[#This Row],[Item_Handpump]],[1]!Table2[#All],9,FALSE),0)</f>
        <v>0</v>
      </c>
      <c r="AZ170" s="25">
        <f>IF(Table1[[#This Row],[Adjusted_ULife_PF]]=6,VLOOKUP(Table1[[#This Row],[Item_Platform]],[1]!Table2[#All],9,FALSE),0)</f>
        <v>0</v>
      </c>
      <c r="BA170" s="25">
        <f>SUM(Table1[[#This Row],[yr 6_wl]:[yr 6_pf]])</f>
        <v>0</v>
      </c>
      <c r="BB170" s="25">
        <f>IF(Table1[[#This Row],[Years_Next_Rehab_Well]]=7,VLOOKUP(Table1[[#This Row],[Item_Rehab_WL]],[1]!Table2[#All],10,FALSE),0)</f>
        <v>0</v>
      </c>
      <c r="BC170" s="25">
        <f>IF(Table1[[#This Row],[Adjusted_ULife_HP]]=7,VLOOKUP(Table1[[#This Row],[Item_Handpump]],[1]!Table2[#All],10,FALSE),0)</f>
        <v>884.2725629624324</v>
      </c>
      <c r="BD170" s="25">
        <f>IF(Table1[[#This Row],[Adjusted_ULife_PF]]=7,VLOOKUP(Table1[[#This Row],[Item_Platform]],[1]!Table2[#All],10,FALSE),0)</f>
        <v>0</v>
      </c>
      <c r="BE170" s="25">
        <f>SUM(Table1[[#This Row],[yr 7_wl]:[yr 7_pf]])</f>
        <v>884.2725629624324</v>
      </c>
      <c r="BF170" s="25">
        <f>IF(Table1[[#This Row],[Years_Next_Rehab_Well]]=8,VLOOKUP(Table1[[#This Row],[Item_Rehab_WL]],[1]!Table2[#All],11,FALSE),0)</f>
        <v>0</v>
      </c>
      <c r="BG170" s="25">
        <f>IF(Table1[[#This Row],[Adjusted_ULife_HP]]=8,VLOOKUP(Table1[[#This Row],[Item_Handpump]],[1]!Table2[#All],11,FALSE),0)</f>
        <v>0</v>
      </c>
      <c r="BH170" s="25">
        <f>IF(Table1[[#This Row],[Adjusted_ULife_PF]]=8,VLOOKUP(Table1[[#This Row],[Item_Platform]],[1]!Table2[#All],11,FALSE),0)</f>
        <v>0</v>
      </c>
      <c r="BI170" s="25">
        <f>SUM(Table1[[#This Row],[yr 8_wl]:[yr 8_pf]])</f>
        <v>0</v>
      </c>
      <c r="BJ170" s="25">
        <f>IF(Table1[[#This Row],[Years_Next_Rehab_Well]]=9,VLOOKUP(Table1[[#This Row],[Item_Rehab_WL]],[1]!Table2[#All],12,FALSE),0)</f>
        <v>0</v>
      </c>
      <c r="BK170" s="25">
        <f>IF(Table1[[#This Row],[Adjusted_ULife_HP]]=9,VLOOKUP(Table1[[#This Row],[Item_Handpump]],[1]!Table2[#All],12,FALSE),0)</f>
        <v>0</v>
      </c>
      <c r="BL170" s="25">
        <f>IF(Table1[[#This Row],[Adjusted_ULife_PF]]=9,VLOOKUP(Table1[[#This Row],[Item_Platform]],[1]!Table2[#All],12,FALSE),0)</f>
        <v>0</v>
      </c>
      <c r="BM170" s="25">
        <f>SUM(Table1[[#This Row],[yr 9_wl]:[yr 9_pf]])</f>
        <v>0</v>
      </c>
      <c r="BN170" s="25">
        <f>IF(Table1[[#This Row],[Years_Next_Rehab_Well]]=10,VLOOKUP(Table1[[#This Row],[Item_Rehab_WL]],[1]!Table2[#All],13,FALSE),0)</f>
        <v>0</v>
      </c>
      <c r="BO170" s="25">
        <f>IF(Table1[[#This Row],[Adjusted_ULife_HP]]=10,VLOOKUP(Table1[[#This Row],[Item_Handpump]],[1]!Table2[#All],13,FALSE),0)</f>
        <v>0</v>
      </c>
      <c r="BP170" s="25">
        <f>IF(Table1[[#This Row],[Adjusted_ULife_PF]]=10,VLOOKUP(Table1[[#This Row],[Item_Platform]],[1]!Table2[#All],13,FALSE),0)</f>
        <v>0</v>
      </c>
      <c r="BQ170" s="25">
        <f>SUM(Table1[[#This Row],[yr 10_wl]:[yr 10_pf]])</f>
        <v>0</v>
      </c>
      <c r="BR170" s="25">
        <f>IF(Table1[[#This Row],[Years_Next_Rehab_Well]]=11,VLOOKUP(Table1[[#This Row],[Item_Rehab_WL]],[1]!Table2[#All],14,FALSE),0)</f>
        <v>0</v>
      </c>
      <c r="BS170" s="25">
        <f>IF(Table1[[#This Row],[Adjusted_ULife_HP]]=11,VLOOKUP(Table1[[#This Row],[Item_Handpump]],[1]!Table2[#All],14,FALSE),0)</f>
        <v>0</v>
      </c>
      <c r="BT170" s="25">
        <f>IF(Table1[[#This Row],[Adjusted_ULife_PF]]=11,VLOOKUP(Table1[[#This Row],[Item_Platform]],[1]!Table2[#All],14,FALSE),0)</f>
        <v>0</v>
      </c>
      <c r="BU170" s="25">
        <f>SUM(Table1[[#This Row],[yr 11_wl]:[yr 11_pf]])</f>
        <v>0</v>
      </c>
      <c r="BV170" s="25">
        <f>IF(Table1[[#This Row],[Years_Next_Rehab_Well]]=12,VLOOKUP(Table1[[#This Row],[Item_Rehab_WL]],[1]!Table2[#All],15,FALSE),0)</f>
        <v>0</v>
      </c>
      <c r="BW170" s="25">
        <f>IF(Table1[[#This Row],[Adjusted_ULife_HP]]=12,VLOOKUP(Table1[[#This Row],[Item_Handpump]],[1]!Table2[#All],15,FALSE),0)</f>
        <v>0</v>
      </c>
      <c r="BX170" s="25">
        <f>IF(Table1[[#This Row],[Adjusted_ULife_PF]]=12,VLOOKUP(Table1[[#This Row],[Item_Platform]],[1]!Table2[#All],15,FALSE),0)</f>
        <v>0</v>
      </c>
      <c r="BY170" s="25">
        <f>SUM(Table1[[#This Row],[yr 12_wl]:[yr 12_pf]])</f>
        <v>0</v>
      </c>
      <c r="BZ170" s="25">
        <f>IF(Table1[[#This Row],[Years_Next_Rehab_Well]]=13,VLOOKUP(Table1[[#This Row],[Item_Rehab_WL]],[1]!Table2[#All],16,FALSE),0)</f>
        <v>0</v>
      </c>
      <c r="CA170" s="25">
        <f>IF(Table1[[#This Row],[Adjusted_ULife_HP]]=13,VLOOKUP(Table1[[#This Row],[Item_Handpump]],[1]!Table2[#All],16,FALSE),0)</f>
        <v>0</v>
      </c>
      <c r="CB170" s="25">
        <f>IF(Table1[[#This Row],[Adjusted_ULife_PF]]=13,VLOOKUP(Table1[[#This Row],[Item_Platform]],[1]!Table2[#All],16,FALSE),0)</f>
        <v>0</v>
      </c>
      <c r="CC170" s="25">
        <f>SUM(Table1[[#This Row],[yr 13_wl]:[yr 13_pf]])</f>
        <v>0</v>
      </c>
      <c r="CD170" s="12"/>
    </row>
    <row r="171" spans="1:82" s="11" customFormat="1" x14ac:dyDescent="0.25">
      <c r="A171" s="11" t="str">
        <f>IF([1]Input_monitoring_data!A167="","",[1]Input_monitoring_data!A167)</f>
        <v>xtxe-v5gy-re7h</v>
      </c>
      <c r="B171" s="22" t="str">
        <f>[1]Input_monitoring_data!BH167</f>
        <v>Goamu</v>
      </c>
      <c r="C171" s="22" t="str">
        <f>[1]Input_monitoring_data!BI167</f>
        <v>Ama Agyemangkrom</v>
      </c>
      <c r="D171" s="22" t="str">
        <f>[1]Input_monitoring_data!P167</f>
        <v>6.994859699918001</v>
      </c>
      <c r="E171" s="22" t="str">
        <f>[1]Input_monitoring_data!Q167</f>
        <v>-2.4669153458985464</v>
      </c>
      <c r="F171" s="22" t="str">
        <f>[1]Input_monitoring_data!V167</f>
        <v>Close To Seth Krom</v>
      </c>
      <c r="G171" s="23" t="str">
        <f>[1]Input_monitoring_data!U167</f>
        <v>Hand dug well</v>
      </c>
      <c r="H171" s="22">
        <f>[1]Input_monitoring_data!X167</f>
        <v>2012</v>
      </c>
      <c r="I171" s="21" t="str">
        <f>[1]Input_monitoring_data!AB167</f>
        <v>Borehole redevelopment</v>
      </c>
      <c r="J171" s="21">
        <f>[1]Input_monitoring_data!AC167</f>
        <v>0</v>
      </c>
      <c r="K171" s="23" t="str">
        <f>[1]Input_monitoring_data!W167</f>
        <v>Nira AF-85</v>
      </c>
      <c r="L171" s="22">
        <f>[1]Input_monitoring_data!X167</f>
        <v>2012</v>
      </c>
      <c r="M171" s="21">
        <f>IF([1]Input_monitoring_data!BL167&gt;'Point Sources_Asset_Register_'!L171,[1]Input_monitoring_data!BL167,"")</f>
        <v>2016</v>
      </c>
      <c r="N171" s="22" t="str">
        <f>[1]Input_monitoring_data!BQ167</f>
        <v>functional</v>
      </c>
      <c r="O171" s="22">
        <f>[1]Input_monitoring_data!AJ167</f>
        <v>0</v>
      </c>
      <c r="P171" s="23" t="s">
        <v>0</v>
      </c>
      <c r="Q171" s="22">
        <f>L171</f>
        <v>2012</v>
      </c>
      <c r="R171" s="21">
        <f>M171</f>
        <v>2016</v>
      </c>
      <c r="S171" s="20">
        <f>[1]Input_EUL_CRC_ERC!$B$17-Table1[[#This Row],[Year Installed_WL]]</f>
        <v>5</v>
      </c>
      <c r="T171" s="20">
        <f>[1]Input_EUL_CRC_ERC!$B$17-(IF(Table1[[#This Row],[Year Last_Rehab_WL ]]=0,Table1[[#This Row],[Year Installed_WL]],[1]Input_EUL_CRC_ERC!$B$17-Table1[[#This Row],[Year Last_Rehab_WL ]]))</f>
        <v>5</v>
      </c>
      <c r="U171" s="20">
        <f>(VLOOKUP(Table1[[#This Row],[Item_Rehab_WL]],[1]Input_EUL_CRC_ERC!$C$17:$E$27,2,FALSE)-Table1[[#This Row],[Last Rehab Age]])</f>
        <v>10</v>
      </c>
      <c r="V171" s="19">
        <f>[1]Input_EUL_CRC_ERC!$B$17-Table1[[#This Row],[Year Installed_HP]]</f>
        <v>5</v>
      </c>
      <c r="W171" s="19">
        <f>(VLOOKUP(Table1[[#This Row],[Item_Handpump]],[1]!Table2[#All],2,FALSE))-(IF(Table1[[#This Row],[Year Last_Rehab_HP]]="",Table1[[#This Row],[Current Age_Handpump]],[1]Input_EUL_CRC_ERC!$B$17-Table1[[#This Row],[Year Last_Rehab_HP]]))</f>
        <v>19</v>
      </c>
      <c r="X171" s="19">
        <f>[1]Input_EUL_CRC_ERC!$B$17-Table1[[#This Row],[Year Installed_PF]]</f>
        <v>5</v>
      </c>
      <c r="Y171" s="19">
        <f>(VLOOKUP(Table1[[#This Row],[Item_Platform]],[1]!Table2[#All],2,FALSE))-(IF(Table1[[#This Row],[Year Last_Rehab_PF]]="",Table1[[#This Row],[Current Age_Platform]],[1]Input_EUL_CRC_ERC!$B$17-Table1[[#This Row],[Year Last_Rehab_PF]]))</f>
        <v>9</v>
      </c>
      <c r="Z171" s="25">
        <f>IF(Table1[[#This Row],[Years_Next_Rehab_Well]]&lt;=0,VLOOKUP(Table1[[#This Row],[Item_Rehab_WL]],[1]!Table2[#All],3,FALSE),0)</f>
        <v>0</v>
      </c>
      <c r="AA171" s="18">
        <f>IF(Table1[[#This Row],[Adjusted_ULife_HP]]&lt;=0,VLOOKUP(Table1[[#This Row],[Item_Handpump]],[1]!Table2[#All],3,FALSE),0)</f>
        <v>0</v>
      </c>
      <c r="AB171" s="18">
        <f>IF(Table1[[#This Row],[Adjusted_ULife_PF]]&lt;=0,VLOOKUP(Table1[[#This Row],[Item_Platform]],[1]!Table2[#All],3,FALSE),0)</f>
        <v>0</v>
      </c>
      <c r="AC171" s="18">
        <f>SUM(Table1[[#This Row],[current yr_wl]:[current yr_pf]])</f>
        <v>0</v>
      </c>
      <c r="AD171" s="25">
        <f>IF(Table1[[#This Row],[Years_Next_Rehab_Well]]=1,VLOOKUP(Table1[[#This Row],[Item_Rehab_WL]],[1]!Table2[#All],4,FALSE),0)</f>
        <v>0</v>
      </c>
      <c r="AE171" s="25">
        <f>IF(Table1[[#This Row],[Adjusted_ULife_HP]]=1,VLOOKUP(Table1[[#This Row],[Item_Handpump]],[1]!Table2[#All],4,FALSE),0)</f>
        <v>0</v>
      </c>
      <c r="AF171" s="25">
        <f>IF(Table1[[#This Row],[Adjusted_ULife_PF]]=1,VLOOKUP(Table1[[#This Row],[Item_Platform]],[1]!Table2[#All],4,FALSE),0)</f>
        <v>0</v>
      </c>
      <c r="AG171" s="25">
        <f>SUM(Table1[[#This Row],[yr 1_wl]:[yr 1_pf]])</f>
        <v>0</v>
      </c>
      <c r="AH171" s="25">
        <f>IF(Table1[[#This Row],[Years_Next_Rehab_Well]]=2,VLOOKUP(Table1[[#This Row],[Item_Rehab_WL]],[1]!Table2[#All],5,FALSE),0)</f>
        <v>0</v>
      </c>
      <c r="AI171" s="25">
        <f>IF(Table1[[#This Row],[Adjusted_ULife_HP]]=2,VLOOKUP(Table1[[#This Row],[Item_Handpump]],[1]!Table2[#All],5,FALSE),0)</f>
        <v>0</v>
      </c>
      <c r="AJ171" s="25">
        <f>IF(Table1[[#This Row],[Adjusted_ULife_PF]]=2,VLOOKUP(Table1[[#This Row],[Item_Platform]],[1]!Table2[#All],5,FALSE),0)</f>
        <v>0</v>
      </c>
      <c r="AK171" s="25">
        <f>SUM(Table1[[#This Row],[yr 2_wl]:[yr 2_pf]])</f>
        <v>0</v>
      </c>
      <c r="AL171" s="25">
        <f>IF(Table1[[#This Row],[Years_Next_Rehab_Well]]=3,VLOOKUP(Table1[[#This Row],[Item_Rehab_WL]],[1]!Table2[#All],6,FALSE),0)</f>
        <v>0</v>
      </c>
      <c r="AM171" s="25">
        <f>IF(Table1[[#This Row],[Adjusted_ULife_HP]]=3,VLOOKUP(Table1[[#This Row],[Item_Handpump]],[1]!Table2[#All],6,FALSE),0)</f>
        <v>0</v>
      </c>
      <c r="AN171" s="25">
        <f>IF(Table1[[#This Row],[Adjusted_ULife_PF]]=3,VLOOKUP(Table1[[#This Row],[Item_Platform]],[1]!Table2[#All],6,FALSE),0)</f>
        <v>0</v>
      </c>
      <c r="AO171" s="25">
        <f>SUM(Table1[[#This Row],[yr 3_wl]:[yr 3_pf]])</f>
        <v>0</v>
      </c>
      <c r="AP171" s="25">
        <f>IF(Table1[[#This Row],[Years_Next_Rehab_Well]]=4,VLOOKUP(Table1[[#This Row],[Item_Rehab_WL]],[1]!Table2[#All],7,FALSE),0)</f>
        <v>0</v>
      </c>
      <c r="AQ171" s="25">
        <f>IF(Table1[[#This Row],[Adjusted_ULife_HP]]=4,VLOOKUP(Table1[[#This Row],[Item_Handpump]],[1]!Table2[#All],7,FALSE),0)</f>
        <v>0</v>
      </c>
      <c r="AR171" s="25">
        <f>IF(Table1[[#This Row],[Adjusted_ULife_PF]]=4,VLOOKUP(Table1[[#This Row],[Item_Platform]],[1]!Table2[#All],7,FALSE),0)</f>
        <v>0</v>
      </c>
      <c r="AS171" s="25">
        <f>SUM(Table1[[#This Row],[yr 4_wl]:[yr 4_pf]])</f>
        <v>0</v>
      </c>
      <c r="AT171" s="25">
        <f>IF(Table1[[#This Row],[Years_Next_Rehab_Well]]=5,VLOOKUP(Table1[[#This Row],[Item_Rehab_WL]],[1]!Table2[#All],8,FALSE),0)</f>
        <v>0</v>
      </c>
      <c r="AU171" s="25">
        <f>IF(Table1[[#This Row],[Adjusted_ULife_HP]]=5,VLOOKUP(Table1[[#This Row],[Item_Handpump]],[1]!Table2[#All],8,FALSE),0)</f>
        <v>0</v>
      </c>
      <c r="AV171" s="25">
        <f>IF(Table1[[#This Row],[Adjusted_ULife_PF]]=5,VLOOKUP(Table1[[#This Row],[Item_Platform]],[1]!Table2[#All],8,FALSE),0)</f>
        <v>0</v>
      </c>
      <c r="AW171" s="25">
        <f>SUM(Table1[[#This Row],[yr 5_wl]:[yr 5_pf]])</f>
        <v>0</v>
      </c>
      <c r="AX171" s="25">
        <f>IF(Table1[[#This Row],[Years_Next_Rehab_Well]]=6,VLOOKUP(Table1[[#This Row],[Item_Rehab_WL]],[1]!Table2[#All],9,FALSE),0)</f>
        <v>0</v>
      </c>
      <c r="AY171" s="25">
        <f>IF(Table1[[#This Row],[Adjusted_ULife_HP]]=6,VLOOKUP(Table1[[#This Row],[Item_Handpump]],[1]!Table2[#All],9,FALSE),0)</f>
        <v>0</v>
      </c>
      <c r="AZ171" s="25">
        <f>IF(Table1[[#This Row],[Adjusted_ULife_PF]]=6,VLOOKUP(Table1[[#This Row],[Item_Platform]],[1]!Table2[#All],9,FALSE),0)</f>
        <v>0</v>
      </c>
      <c r="BA171" s="25">
        <f>SUM(Table1[[#This Row],[yr 6_wl]:[yr 6_pf]])</f>
        <v>0</v>
      </c>
      <c r="BB171" s="25">
        <f>IF(Table1[[#This Row],[Years_Next_Rehab_Well]]=7,VLOOKUP(Table1[[#This Row],[Item_Rehab_WL]],[1]!Table2[#All],10,FALSE),0)</f>
        <v>0</v>
      </c>
      <c r="BC171" s="25">
        <f>IF(Table1[[#This Row],[Adjusted_ULife_HP]]=7,VLOOKUP(Table1[[#This Row],[Item_Handpump]],[1]!Table2[#All],10,FALSE),0)</f>
        <v>0</v>
      </c>
      <c r="BD171" s="25">
        <f>IF(Table1[[#This Row],[Adjusted_ULife_PF]]=7,VLOOKUP(Table1[[#This Row],[Item_Platform]],[1]!Table2[#All],10,FALSE),0)</f>
        <v>0</v>
      </c>
      <c r="BE171" s="25">
        <f>SUM(Table1[[#This Row],[yr 7_wl]:[yr 7_pf]])</f>
        <v>0</v>
      </c>
      <c r="BF171" s="25">
        <f>IF(Table1[[#This Row],[Years_Next_Rehab_Well]]=8,VLOOKUP(Table1[[#This Row],[Item_Rehab_WL]],[1]!Table2[#All],11,FALSE),0)</f>
        <v>0</v>
      </c>
      <c r="BG171" s="25">
        <f>IF(Table1[[#This Row],[Adjusted_ULife_HP]]=8,VLOOKUP(Table1[[#This Row],[Item_Handpump]],[1]!Table2[#All],11,FALSE),0)</f>
        <v>0</v>
      </c>
      <c r="BH171" s="25">
        <f>IF(Table1[[#This Row],[Adjusted_ULife_PF]]=8,VLOOKUP(Table1[[#This Row],[Item_Platform]],[1]!Table2[#All],11,FALSE),0)</f>
        <v>0</v>
      </c>
      <c r="BI171" s="25">
        <f>SUM(Table1[[#This Row],[yr 8_wl]:[yr 8_pf]])</f>
        <v>0</v>
      </c>
      <c r="BJ171" s="25">
        <f>IF(Table1[[#This Row],[Years_Next_Rehab_Well]]=9,VLOOKUP(Table1[[#This Row],[Item_Rehab_WL]],[1]!Table2[#All],12,FALSE),0)</f>
        <v>0</v>
      </c>
      <c r="BK171" s="25">
        <f>IF(Table1[[#This Row],[Adjusted_ULife_HP]]=9,VLOOKUP(Table1[[#This Row],[Item_Handpump]],[1]!Table2[#All],12,FALSE),0)</f>
        <v>0</v>
      </c>
      <c r="BL171" s="25">
        <f>IF(Table1[[#This Row],[Adjusted_ULife_PF]]=9,VLOOKUP(Table1[[#This Row],[Item_Platform]],[1]!Table2[#All],12,FALSE),0)</f>
        <v>4159.6181361752842</v>
      </c>
      <c r="BM171" s="25">
        <f>SUM(Table1[[#This Row],[yr 9_wl]:[yr 9_pf]])</f>
        <v>4159.6181361752842</v>
      </c>
      <c r="BN171" s="25">
        <f>IF(Table1[[#This Row],[Years_Next_Rehab_Well]]=10,VLOOKUP(Table1[[#This Row],[Item_Rehab_WL]],[1]!Table2[#All],13,FALSE),0)</f>
        <v>11388.110097262112</v>
      </c>
      <c r="BO171" s="25">
        <f>IF(Table1[[#This Row],[Adjusted_ULife_HP]]=10,VLOOKUP(Table1[[#This Row],[Item_Handpump]],[1]!Table2[#All],13,FALSE),0)</f>
        <v>0</v>
      </c>
      <c r="BP171" s="25">
        <f>IF(Table1[[#This Row],[Adjusted_ULife_PF]]=10,VLOOKUP(Table1[[#This Row],[Item_Platform]],[1]!Table2[#All],13,FALSE),0)</f>
        <v>0</v>
      </c>
      <c r="BQ171" s="25">
        <f>SUM(Table1[[#This Row],[yr 10_wl]:[yr 10_pf]])</f>
        <v>11388.110097262112</v>
      </c>
      <c r="BR171" s="25">
        <f>IF(Table1[[#This Row],[Years_Next_Rehab_Well]]=11,VLOOKUP(Table1[[#This Row],[Item_Rehab_WL]],[1]!Table2[#All],14,FALSE),0)</f>
        <v>0</v>
      </c>
      <c r="BS171" s="25">
        <f>IF(Table1[[#This Row],[Adjusted_ULife_HP]]=11,VLOOKUP(Table1[[#This Row],[Item_Handpump]],[1]!Table2[#All],14,FALSE),0)</f>
        <v>0</v>
      </c>
      <c r="BT171" s="25">
        <f>IF(Table1[[#This Row],[Adjusted_ULife_PF]]=11,VLOOKUP(Table1[[#This Row],[Item_Platform]],[1]!Table2[#All],14,FALSE),0)</f>
        <v>0</v>
      </c>
      <c r="BU171" s="25">
        <f>SUM(Table1[[#This Row],[yr 11_wl]:[yr 11_pf]])</f>
        <v>0</v>
      </c>
      <c r="BV171" s="25">
        <f>IF(Table1[[#This Row],[Years_Next_Rehab_Well]]=12,VLOOKUP(Table1[[#This Row],[Item_Rehab_WL]],[1]!Table2[#All],15,FALSE),0)</f>
        <v>0</v>
      </c>
      <c r="BW171" s="25">
        <f>IF(Table1[[#This Row],[Adjusted_ULife_HP]]=12,VLOOKUP(Table1[[#This Row],[Item_Handpump]],[1]!Table2[#All],15,FALSE),0)</f>
        <v>0</v>
      </c>
      <c r="BX171" s="25">
        <f>IF(Table1[[#This Row],[Adjusted_ULife_PF]]=12,VLOOKUP(Table1[[#This Row],[Item_Platform]],[1]!Table2[#All],15,FALSE),0)</f>
        <v>0</v>
      </c>
      <c r="BY171" s="25">
        <f>SUM(Table1[[#This Row],[yr 12_wl]:[yr 12_pf]])</f>
        <v>0</v>
      </c>
      <c r="BZ171" s="25">
        <f>IF(Table1[[#This Row],[Years_Next_Rehab_Well]]=13,VLOOKUP(Table1[[#This Row],[Item_Rehab_WL]],[1]!Table2[#All],16,FALSE),0)</f>
        <v>0</v>
      </c>
      <c r="CA171" s="25">
        <f>IF(Table1[[#This Row],[Adjusted_ULife_HP]]=13,VLOOKUP(Table1[[#This Row],[Item_Handpump]],[1]!Table2[#All],16,FALSE),0)</f>
        <v>0</v>
      </c>
      <c r="CB171" s="25">
        <f>IF(Table1[[#This Row],[Adjusted_ULife_PF]]=13,VLOOKUP(Table1[[#This Row],[Item_Platform]],[1]!Table2[#All],16,FALSE),0)</f>
        <v>0</v>
      </c>
      <c r="CC171" s="25">
        <f>SUM(Table1[[#This Row],[yr 13_wl]:[yr 13_pf]])</f>
        <v>0</v>
      </c>
      <c r="CD171" s="12"/>
    </row>
    <row r="172" spans="1:82" s="11" customFormat="1" x14ac:dyDescent="0.25">
      <c r="A172" s="11" t="str">
        <f>IF([1]Input_monitoring_data!A168="","",[1]Input_monitoring_data!A168)</f>
        <v>ydn4-xtfy-6kqb</v>
      </c>
      <c r="B172" s="22" t="str">
        <f>[1]Input_monitoring_data!BH168</f>
        <v>Kenyasi No.2</v>
      </c>
      <c r="C172" s="22" t="str">
        <f>[1]Input_monitoring_data!BI168</f>
        <v>Tankhun</v>
      </c>
      <c r="D172" s="22" t="str">
        <f>[1]Input_monitoring_data!P168</f>
        <v>7.0541087863276815</v>
      </c>
      <c r="E172" s="22" t="str">
        <f>[1]Input_monitoring_data!Q168</f>
        <v>-2.3708453489407337</v>
      </c>
      <c r="F172" s="22" t="str">
        <f>[1]Input_monitoring_data!V168</f>
        <v>Tankhun Junction</v>
      </c>
      <c r="G172" s="23" t="str">
        <f>[1]Input_monitoring_data!U168</f>
        <v>Borehole</v>
      </c>
      <c r="H172" s="22">
        <f>[1]Input_monitoring_data!X168</f>
        <v>2009</v>
      </c>
      <c r="I172" s="21" t="str">
        <f>[1]Input_monitoring_data!AB168</f>
        <v>Borehole redevelopment</v>
      </c>
      <c r="J172" s="21">
        <f>[1]Input_monitoring_data!AC168</f>
        <v>0</v>
      </c>
      <c r="K172" s="23" t="str">
        <f>[1]Input_monitoring_data!W168</f>
        <v>AfriDev</v>
      </c>
      <c r="L172" s="22">
        <f>[1]Input_monitoring_data!X168</f>
        <v>2009</v>
      </c>
      <c r="M172" s="21" t="str">
        <f>IF([1]Input_monitoring_data!BL168&gt;'Point Sources_Asset_Register_'!L172,[1]Input_monitoring_data!BL168,"")</f>
        <v/>
      </c>
      <c r="N172" s="22" t="str">
        <f>[1]Input_monitoring_data!BQ168</f>
        <v>No repeat</v>
      </c>
      <c r="O172" s="22">
        <f>[1]Input_monitoring_data!AJ168</f>
        <v>0</v>
      </c>
      <c r="P172" s="23" t="s">
        <v>0</v>
      </c>
      <c r="Q172" s="22">
        <f>L172</f>
        <v>2009</v>
      </c>
      <c r="R172" s="21" t="str">
        <f>M172</f>
        <v/>
      </c>
      <c r="S172" s="20">
        <f>[1]Input_EUL_CRC_ERC!$B$17-Table1[[#This Row],[Year Installed_WL]]</f>
        <v>8</v>
      </c>
      <c r="T172" s="20">
        <f>[1]Input_EUL_CRC_ERC!$B$17-(IF(Table1[[#This Row],[Year Last_Rehab_WL ]]=0,Table1[[#This Row],[Year Installed_WL]],[1]Input_EUL_CRC_ERC!$B$17-Table1[[#This Row],[Year Last_Rehab_WL ]]))</f>
        <v>8</v>
      </c>
      <c r="U172" s="20">
        <f>(VLOOKUP(Table1[[#This Row],[Item_Rehab_WL]],[1]Input_EUL_CRC_ERC!$C$17:$E$27,2,FALSE)-Table1[[#This Row],[Last Rehab Age]])</f>
        <v>7</v>
      </c>
      <c r="V172" s="19">
        <f>[1]Input_EUL_CRC_ERC!$B$17-Table1[[#This Row],[Year Installed_HP]]</f>
        <v>8</v>
      </c>
      <c r="W172" s="19">
        <f>(VLOOKUP(Table1[[#This Row],[Item_Handpump]],[1]!Table2[#All],2,FALSE))-(IF(Table1[[#This Row],[Year Last_Rehab_HP]]="",Table1[[#This Row],[Current Age_Handpump]],[1]Input_EUL_CRC_ERC!$B$17-Table1[[#This Row],[Year Last_Rehab_HP]]))</f>
        <v>12</v>
      </c>
      <c r="X172" s="19">
        <f>[1]Input_EUL_CRC_ERC!$B$17-Table1[[#This Row],[Year Installed_PF]]</f>
        <v>8</v>
      </c>
      <c r="Y172" s="19">
        <f>(VLOOKUP(Table1[[#This Row],[Item_Platform]],[1]!Table2[#All],2,FALSE))-(IF(Table1[[#This Row],[Year Last_Rehab_PF]]="",Table1[[#This Row],[Current Age_Platform]],[1]Input_EUL_CRC_ERC!$B$17-Table1[[#This Row],[Year Last_Rehab_PF]]))</f>
        <v>2</v>
      </c>
      <c r="Z172" s="25">
        <f>IF(Table1[[#This Row],[Years_Next_Rehab_Well]]&lt;=0,VLOOKUP(Table1[[#This Row],[Item_Rehab_WL]],[1]!Table2[#All],3,FALSE),0)</f>
        <v>0</v>
      </c>
      <c r="AA172" s="18">
        <f>IF(Table1[[#This Row],[Adjusted_ULife_HP]]&lt;=0,VLOOKUP(Table1[[#This Row],[Item_Handpump]],[1]!Table2[#All],3,FALSE),0)</f>
        <v>0</v>
      </c>
      <c r="AB172" s="18">
        <f>IF(Table1[[#This Row],[Adjusted_ULife_PF]]&lt;=0,VLOOKUP(Table1[[#This Row],[Item_Platform]],[1]!Table2[#All],3,FALSE),0)</f>
        <v>0</v>
      </c>
      <c r="AC172" s="18">
        <f>SUM(Table1[[#This Row],[current yr_wl]:[current yr_pf]])</f>
        <v>0</v>
      </c>
      <c r="AD172" s="25">
        <f>IF(Table1[[#This Row],[Years_Next_Rehab_Well]]=1,VLOOKUP(Table1[[#This Row],[Item_Rehab_WL]],[1]!Table2[#All],4,FALSE),0)</f>
        <v>0</v>
      </c>
      <c r="AE172" s="25">
        <f>IF(Table1[[#This Row],[Adjusted_ULife_HP]]=1,VLOOKUP(Table1[[#This Row],[Item_Handpump]],[1]!Table2[#All],4,FALSE),0)</f>
        <v>0</v>
      </c>
      <c r="AF172" s="25">
        <f>IF(Table1[[#This Row],[Adjusted_ULife_PF]]=1,VLOOKUP(Table1[[#This Row],[Item_Platform]],[1]!Table2[#All],4,FALSE),0)</f>
        <v>0</v>
      </c>
      <c r="AG172" s="25">
        <f>SUM(Table1[[#This Row],[yr 1_wl]:[yr 1_pf]])</f>
        <v>0</v>
      </c>
      <c r="AH172" s="25">
        <f>IF(Table1[[#This Row],[Years_Next_Rehab_Well]]=2,VLOOKUP(Table1[[#This Row],[Item_Rehab_WL]],[1]!Table2[#All],5,FALSE),0)</f>
        <v>0</v>
      </c>
      <c r="AI172" s="25">
        <f>IF(Table1[[#This Row],[Adjusted_ULife_HP]]=2,VLOOKUP(Table1[[#This Row],[Item_Handpump]],[1]!Table2[#All],5,FALSE),0)</f>
        <v>0</v>
      </c>
      <c r="AJ172" s="25">
        <f>IF(Table1[[#This Row],[Adjusted_ULife_PF]]=2,VLOOKUP(Table1[[#This Row],[Item_Platform]],[1]!Table2[#All],5,FALSE),0)</f>
        <v>1881.6000000000004</v>
      </c>
      <c r="AK172" s="25">
        <f>SUM(Table1[[#This Row],[yr 2_wl]:[yr 2_pf]])</f>
        <v>1881.6000000000004</v>
      </c>
      <c r="AL172" s="25">
        <f>IF(Table1[[#This Row],[Years_Next_Rehab_Well]]=3,VLOOKUP(Table1[[#This Row],[Item_Rehab_WL]],[1]!Table2[#All],6,FALSE),0)</f>
        <v>0</v>
      </c>
      <c r="AM172" s="25">
        <f>IF(Table1[[#This Row],[Adjusted_ULife_HP]]=3,VLOOKUP(Table1[[#This Row],[Item_Handpump]],[1]!Table2[#All],6,FALSE),0)</f>
        <v>0</v>
      </c>
      <c r="AN172" s="25">
        <f>IF(Table1[[#This Row],[Adjusted_ULife_PF]]=3,VLOOKUP(Table1[[#This Row],[Item_Platform]],[1]!Table2[#All],6,FALSE),0)</f>
        <v>0</v>
      </c>
      <c r="AO172" s="25">
        <f>SUM(Table1[[#This Row],[yr 3_wl]:[yr 3_pf]])</f>
        <v>0</v>
      </c>
      <c r="AP172" s="25">
        <f>IF(Table1[[#This Row],[Years_Next_Rehab_Well]]=4,VLOOKUP(Table1[[#This Row],[Item_Rehab_WL]],[1]!Table2[#All],7,FALSE),0)</f>
        <v>0</v>
      </c>
      <c r="AQ172" s="25">
        <f>IF(Table1[[#This Row],[Adjusted_ULife_HP]]=4,VLOOKUP(Table1[[#This Row],[Item_Handpump]],[1]!Table2[#All],7,FALSE),0)</f>
        <v>0</v>
      </c>
      <c r="AR172" s="25">
        <f>IF(Table1[[#This Row],[Adjusted_ULife_PF]]=4,VLOOKUP(Table1[[#This Row],[Item_Platform]],[1]!Table2[#All],7,FALSE),0)</f>
        <v>0</v>
      </c>
      <c r="AS172" s="25">
        <f>SUM(Table1[[#This Row],[yr 4_wl]:[yr 4_pf]])</f>
        <v>0</v>
      </c>
      <c r="AT172" s="25">
        <f>IF(Table1[[#This Row],[Years_Next_Rehab_Well]]=5,VLOOKUP(Table1[[#This Row],[Item_Rehab_WL]],[1]!Table2[#All],8,FALSE),0)</f>
        <v>0</v>
      </c>
      <c r="AU172" s="25">
        <f>IF(Table1[[#This Row],[Adjusted_ULife_HP]]=5,VLOOKUP(Table1[[#This Row],[Item_Handpump]],[1]!Table2[#All],8,FALSE),0)</f>
        <v>0</v>
      </c>
      <c r="AV172" s="25">
        <f>IF(Table1[[#This Row],[Adjusted_ULife_PF]]=5,VLOOKUP(Table1[[#This Row],[Item_Platform]],[1]!Table2[#All],8,FALSE),0)</f>
        <v>0</v>
      </c>
      <c r="AW172" s="25">
        <f>SUM(Table1[[#This Row],[yr 5_wl]:[yr 5_pf]])</f>
        <v>0</v>
      </c>
      <c r="AX172" s="25">
        <f>IF(Table1[[#This Row],[Years_Next_Rehab_Well]]=6,VLOOKUP(Table1[[#This Row],[Item_Rehab_WL]],[1]!Table2[#All],9,FALSE),0)</f>
        <v>0</v>
      </c>
      <c r="AY172" s="25">
        <f>IF(Table1[[#This Row],[Adjusted_ULife_HP]]=6,VLOOKUP(Table1[[#This Row],[Item_Handpump]],[1]!Table2[#All],9,FALSE),0)</f>
        <v>0</v>
      </c>
      <c r="AZ172" s="25">
        <f>IF(Table1[[#This Row],[Adjusted_ULife_PF]]=6,VLOOKUP(Table1[[#This Row],[Item_Platform]],[1]!Table2[#All],9,FALSE),0)</f>
        <v>0</v>
      </c>
      <c r="BA172" s="25">
        <f>SUM(Table1[[#This Row],[yr 6_wl]:[yr 6_pf]])</f>
        <v>0</v>
      </c>
      <c r="BB172" s="25">
        <f>IF(Table1[[#This Row],[Years_Next_Rehab_Well]]=7,VLOOKUP(Table1[[#This Row],[Item_Rehab_WL]],[1]!Table2[#All],10,FALSE),0)</f>
        <v>8105.8318271556318</v>
      </c>
      <c r="BC172" s="25">
        <f>IF(Table1[[#This Row],[Adjusted_ULife_HP]]=7,VLOOKUP(Table1[[#This Row],[Item_Handpump]],[1]!Table2[#All],10,FALSE),0)</f>
        <v>0</v>
      </c>
      <c r="BD172" s="25">
        <f>IF(Table1[[#This Row],[Adjusted_ULife_PF]]=7,VLOOKUP(Table1[[#This Row],[Item_Platform]],[1]!Table2[#All],10,FALSE),0)</f>
        <v>0</v>
      </c>
      <c r="BE172" s="25">
        <f>SUM(Table1[[#This Row],[yr 7_wl]:[yr 7_pf]])</f>
        <v>8105.8318271556318</v>
      </c>
      <c r="BF172" s="25">
        <f>IF(Table1[[#This Row],[Years_Next_Rehab_Well]]=8,VLOOKUP(Table1[[#This Row],[Item_Rehab_WL]],[1]!Table2[#All],11,FALSE),0)</f>
        <v>0</v>
      </c>
      <c r="BG172" s="25">
        <f>IF(Table1[[#This Row],[Adjusted_ULife_HP]]=8,VLOOKUP(Table1[[#This Row],[Item_Handpump]],[1]!Table2[#All],11,FALSE),0)</f>
        <v>0</v>
      </c>
      <c r="BH172" s="25">
        <f>IF(Table1[[#This Row],[Adjusted_ULife_PF]]=8,VLOOKUP(Table1[[#This Row],[Item_Platform]],[1]!Table2[#All],11,FALSE),0)</f>
        <v>0</v>
      </c>
      <c r="BI172" s="25">
        <f>SUM(Table1[[#This Row],[yr 8_wl]:[yr 8_pf]])</f>
        <v>0</v>
      </c>
      <c r="BJ172" s="25">
        <f>IF(Table1[[#This Row],[Years_Next_Rehab_Well]]=9,VLOOKUP(Table1[[#This Row],[Item_Rehab_WL]],[1]!Table2[#All],12,FALSE),0)</f>
        <v>0</v>
      </c>
      <c r="BK172" s="25">
        <f>IF(Table1[[#This Row],[Adjusted_ULife_HP]]=9,VLOOKUP(Table1[[#This Row],[Item_Handpump]],[1]!Table2[#All],12,FALSE),0)</f>
        <v>0</v>
      </c>
      <c r="BL172" s="25">
        <f>IF(Table1[[#This Row],[Adjusted_ULife_PF]]=9,VLOOKUP(Table1[[#This Row],[Item_Platform]],[1]!Table2[#All],12,FALSE),0)</f>
        <v>0</v>
      </c>
      <c r="BM172" s="25">
        <f>SUM(Table1[[#This Row],[yr 9_wl]:[yr 9_pf]])</f>
        <v>0</v>
      </c>
      <c r="BN172" s="25">
        <f>IF(Table1[[#This Row],[Years_Next_Rehab_Well]]=10,VLOOKUP(Table1[[#This Row],[Item_Rehab_WL]],[1]!Table2[#All],13,FALSE),0)</f>
        <v>0</v>
      </c>
      <c r="BO172" s="25">
        <f>IF(Table1[[#This Row],[Adjusted_ULife_HP]]=10,VLOOKUP(Table1[[#This Row],[Item_Handpump]],[1]!Table2[#All],13,FALSE),0)</f>
        <v>0</v>
      </c>
      <c r="BP172" s="25">
        <f>IF(Table1[[#This Row],[Adjusted_ULife_PF]]=10,VLOOKUP(Table1[[#This Row],[Item_Platform]],[1]!Table2[#All],13,FALSE),0)</f>
        <v>0</v>
      </c>
      <c r="BQ172" s="25">
        <f>SUM(Table1[[#This Row],[yr 10_wl]:[yr 10_pf]])</f>
        <v>0</v>
      </c>
      <c r="BR172" s="25">
        <f>IF(Table1[[#This Row],[Years_Next_Rehab_Well]]=11,VLOOKUP(Table1[[#This Row],[Item_Rehab_WL]],[1]!Table2[#All],14,FALSE),0)</f>
        <v>0</v>
      </c>
      <c r="BS172" s="25">
        <f>IF(Table1[[#This Row],[Adjusted_ULife_HP]]=11,VLOOKUP(Table1[[#This Row],[Item_Handpump]],[1]!Table2[#All],14,FALSE),0)</f>
        <v>0</v>
      </c>
      <c r="BT172" s="25">
        <f>IF(Table1[[#This Row],[Adjusted_ULife_PF]]=11,VLOOKUP(Table1[[#This Row],[Item_Platform]],[1]!Table2[#All],14,FALSE),0)</f>
        <v>0</v>
      </c>
      <c r="BU172" s="25">
        <f>SUM(Table1[[#This Row],[yr 11_wl]:[yr 11_pf]])</f>
        <v>0</v>
      </c>
      <c r="BV172" s="25">
        <f>IF(Table1[[#This Row],[Years_Next_Rehab_Well]]=12,VLOOKUP(Table1[[#This Row],[Item_Rehab_WL]],[1]!Table2[#All],15,FALSE),0)</f>
        <v>0</v>
      </c>
      <c r="BW172" s="25">
        <f>IF(Table1[[#This Row],[Adjusted_ULife_HP]]=12,VLOOKUP(Table1[[#This Row],[Item_Handpump]],[1]!Table2[#All],15,FALSE),0)</f>
        <v>1558.3903970187919</v>
      </c>
      <c r="BX172" s="25">
        <f>IF(Table1[[#This Row],[Adjusted_ULife_PF]]=12,VLOOKUP(Table1[[#This Row],[Item_Platform]],[1]!Table2[#All],15,FALSE),0)</f>
        <v>0</v>
      </c>
      <c r="BY172" s="25">
        <f>SUM(Table1[[#This Row],[yr 12_wl]:[yr 12_pf]])</f>
        <v>1558.3903970187919</v>
      </c>
      <c r="BZ172" s="25">
        <f>IF(Table1[[#This Row],[Years_Next_Rehab_Well]]=13,VLOOKUP(Table1[[#This Row],[Item_Rehab_WL]],[1]!Table2[#All],16,FALSE),0)</f>
        <v>0</v>
      </c>
      <c r="CA172" s="25">
        <f>IF(Table1[[#This Row],[Adjusted_ULife_HP]]=13,VLOOKUP(Table1[[#This Row],[Item_Handpump]],[1]!Table2[#All],16,FALSE),0)</f>
        <v>0</v>
      </c>
      <c r="CB172" s="25">
        <f>IF(Table1[[#This Row],[Adjusted_ULife_PF]]=13,VLOOKUP(Table1[[#This Row],[Item_Platform]],[1]!Table2[#All],16,FALSE),0)</f>
        <v>0</v>
      </c>
      <c r="CC172" s="25">
        <f>SUM(Table1[[#This Row],[yr 13_wl]:[yr 13_pf]])</f>
        <v>0</v>
      </c>
      <c r="CD172" s="12"/>
    </row>
    <row r="173" spans="1:82" s="11" customFormat="1" x14ac:dyDescent="0.25">
      <c r="A173" s="11" t="str">
        <f>IF([1]Input_monitoring_data!A169="","",[1]Input_monitoring_data!A169)</f>
        <v>yua6-d4v9-53k8</v>
      </c>
      <c r="B173" s="22" t="str">
        <f>[1]Input_monitoring_data!BH169</f>
        <v>Kenyasi No.1</v>
      </c>
      <c r="C173" s="22" t="str">
        <f>[1]Input_monitoring_data!BI169</f>
        <v>Bogyampa</v>
      </c>
      <c r="D173" s="22" t="str">
        <f>[1]Input_monitoring_data!P169</f>
        <v>6.97452097214253</v>
      </c>
      <c r="E173" s="22" t="str">
        <f>[1]Input_monitoring_data!Q169</f>
        <v>-2.4648355820421184</v>
      </c>
      <c r="F173" s="22" t="str">
        <f>[1]Input_monitoring_data!V169</f>
        <v>Infront Of The Cocoa Shed</v>
      </c>
      <c r="G173" s="23" t="str">
        <f>[1]Input_monitoring_data!U169</f>
        <v>Borehole</v>
      </c>
      <c r="H173" s="22">
        <f>[1]Input_monitoring_data!X169</f>
        <v>1987</v>
      </c>
      <c r="I173" s="21" t="str">
        <f>[1]Input_monitoring_data!AB169</f>
        <v>Borehole redevelopment</v>
      </c>
      <c r="J173" s="21">
        <f>[1]Input_monitoring_data!AC169</f>
        <v>0</v>
      </c>
      <c r="K173" s="23" t="str">
        <f>[1]Input_monitoring_data!W169</f>
        <v>AfriDev</v>
      </c>
      <c r="L173" s="22">
        <f>[1]Input_monitoring_data!X169</f>
        <v>1987</v>
      </c>
      <c r="M173" s="21">
        <f>IF([1]Input_monitoring_data!BL169&gt;'Point Sources_Asset_Register_'!L173,[1]Input_monitoring_data!BL169,"")</f>
        <v>2015</v>
      </c>
      <c r="N173" s="22" t="str">
        <f>[1]Input_monitoring_data!BQ169</f>
        <v>functional</v>
      </c>
      <c r="O173" s="22">
        <f>[1]Input_monitoring_data!AJ169</f>
        <v>0</v>
      </c>
      <c r="P173" s="23" t="s">
        <v>0</v>
      </c>
      <c r="Q173" s="22">
        <f>L173</f>
        <v>1987</v>
      </c>
      <c r="R173" s="21">
        <f>M173</f>
        <v>2015</v>
      </c>
      <c r="S173" s="20">
        <f>[1]Input_EUL_CRC_ERC!$B$17-Table1[[#This Row],[Year Installed_WL]]</f>
        <v>30</v>
      </c>
      <c r="T173" s="20">
        <f>[1]Input_EUL_CRC_ERC!$B$17-(IF(Table1[[#This Row],[Year Last_Rehab_WL ]]=0,Table1[[#This Row],[Year Installed_WL]],[1]Input_EUL_CRC_ERC!$B$17-Table1[[#This Row],[Year Last_Rehab_WL ]]))</f>
        <v>30</v>
      </c>
      <c r="U173" s="20">
        <f>(VLOOKUP(Table1[[#This Row],[Item_Rehab_WL]],[1]Input_EUL_CRC_ERC!$C$17:$E$27,2,FALSE)-Table1[[#This Row],[Last Rehab Age]])</f>
        <v>-15</v>
      </c>
      <c r="V173" s="19">
        <f>[1]Input_EUL_CRC_ERC!$B$17-Table1[[#This Row],[Year Installed_HP]]</f>
        <v>30</v>
      </c>
      <c r="W173" s="19">
        <f>(VLOOKUP(Table1[[#This Row],[Item_Handpump]],[1]!Table2[#All],2,FALSE))-(IF(Table1[[#This Row],[Year Last_Rehab_HP]]="",Table1[[#This Row],[Current Age_Handpump]],[1]Input_EUL_CRC_ERC!$B$17-Table1[[#This Row],[Year Last_Rehab_HP]]))</f>
        <v>18</v>
      </c>
      <c r="X173" s="19">
        <f>[1]Input_EUL_CRC_ERC!$B$17-Table1[[#This Row],[Year Installed_PF]]</f>
        <v>30</v>
      </c>
      <c r="Y173" s="19">
        <f>(VLOOKUP(Table1[[#This Row],[Item_Platform]],[1]!Table2[#All],2,FALSE))-(IF(Table1[[#This Row],[Year Last_Rehab_PF]]="",Table1[[#This Row],[Current Age_Platform]],[1]Input_EUL_CRC_ERC!$B$17-Table1[[#This Row],[Year Last_Rehab_PF]]))</f>
        <v>8</v>
      </c>
      <c r="Z173" s="25">
        <f>IF(Table1[[#This Row],[Years_Next_Rehab_Well]]&lt;=0,VLOOKUP(Table1[[#This Row],[Item_Rehab_WL]],[1]!Table2[#All],3,FALSE),0)</f>
        <v>3666.6666666666665</v>
      </c>
      <c r="AA173" s="18">
        <f>IF(Table1[[#This Row],[Adjusted_ULife_HP]]&lt;=0,VLOOKUP(Table1[[#This Row],[Item_Handpump]],[1]!Table2[#All],3,FALSE),0)</f>
        <v>0</v>
      </c>
      <c r="AB173" s="18">
        <f>IF(Table1[[#This Row],[Adjusted_ULife_PF]]&lt;=0,VLOOKUP(Table1[[#This Row],[Item_Platform]],[1]!Table2[#All],3,FALSE),0)</f>
        <v>0</v>
      </c>
      <c r="AC173" s="18">
        <f>SUM(Table1[[#This Row],[current yr_wl]:[current yr_pf]])</f>
        <v>3666.6666666666665</v>
      </c>
      <c r="AD173" s="25">
        <f>IF(Table1[[#This Row],[Years_Next_Rehab_Well]]=1,VLOOKUP(Table1[[#This Row],[Item_Rehab_WL]],[1]!Table2[#All],4,FALSE),0)</f>
        <v>0</v>
      </c>
      <c r="AE173" s="25">
        <f>IF(Table1[[#This Row],[Adjusted_ULife_HP]]=1,VLOOKUP(Table1[[#This Row],[Item_Handpump]],[1]!Table2[#All],4,FALSE),0)</f>
        <v>0</v>
      </c>
      <c r="AF173" s="25">
        <f>IF(Table1[[#This Row],[Adjusted_ULife_PF]]=1,VLOOKUP(Table1[[#This Row],[Item_Platform]],[1]!Table2[#All],4,FALSE),0)</f>
        <v>0</v>
      </c>
      <c r="AG173" s="25">
        <f>SUM(Table1[[#This Row],[yr 1_wl]:[yr 1_pf]])</f>
        <v>0</v>
      </c>
      <c r="AH173" s="25">
        <f>IF(Table1[[#This Row],[Years_Next_Rehab_Well]]=2,VLOOKUP(Table1[[#This Row],[Item_Rehab_WL]],[1]!Table2[#All],5,FALSE),0)</f>
        <v>0</v>
      </c>
      <c r="AI173" s="25">
        <f>IF(Table1[[#This Row],[Adjusted_ULife_HP]]=2,VLOOKUP(Table1[[#This Row],[Item_Handpump]],[1]!Table2[#All],5,FALSE),0)</f>
        <v>0</v>
      </c>
      <c r="AJ173" s="25">
        <f>IF(Table1[[#This Row],[Adjusted_ULife_PF]]=2,VLOOKUP(Table1[[#This Row],[Item_Platform]],[1]!Table2[#All],5,FALSE),0)</f>
        <v>0</v>
      </c>
      <c r="AK173" s="25">
        <f>SUM(Table1[[#This Row],[yr 2_wl]:[yr 2_pf]])</f>
        <v>0</v>
      </c>
      <c r="AL173" s="25">
        <f>IF(Table1[[#This Row],[Years_Next_Rehab_Well]]=3,VLOOKUP(Table1[[#This Row],[Item_Rehab_WL]],[1]!Table2[#All],6,FALSE),0)</f>
        <v>0</v>
      </c>
      <c r="AM173" s="25">
        <f>IF(Table1[[#This Row],[Adjusted_ULife_HP]]=3,VLOOKUP(Table1[[#This Row],[Item_Handpump]],[1]!Table2[#All],6,FALSE),0)</f>
        <v>0</v>
      </c>
      <c r="AN173" s="25">
        <f>IF(Table1[[#This Row],[Adjusted_ULife_PF]]=3,VLOOKUP(Table1[[#This Row],[Item_Platform]],[1]!Table2[#All],6,FALSE),0)</f>
        <v>0</v>
      </c>
      <c r="AO173" s="25">
        <f>SUM(Table1[[#This Row],[yr 3_wl]:[yr 3_pf]])</f>
        <v>0</v>
      </c>
      <c r="AP173" s="25">
        <f>IF(Table1[[#This Row],[Years_Next_Rehab_Well]]=4,VLOOKUP(Table1[[#This Row],[Item_Rehab_WL]],[1]!Table2[#All],7,FALSE),0)</f>
        <v>0</v>
      </c>
      <c r="AQ173" s="25">
        <f>IF(Table1[[#This Row],[Adjusted_ULife_HP]]=4,VLOOKUP(Table1[[#This Row],[Item_Handpump]],[1]!Table2[#All],7,FALSE),0)</f>
        <v>0</v>
      </c>
      <c r="AR173" s="25">
        <f>IF(Table1[[#This Row],[Adjusted_ULife_PF]]=4,VLOOKUP(Table1[[#This Row],[Item_Platform]],[1]!Table2[#All],7,FALSE),0)</f>
        <v>0</v>
      </c>
      <c r="AS173" s="25">
        <f>SUM(Table1[[#This Row],[yr 4_wl]:[yr 4_pf]])</f>
        <v>0</v>
      </c>
      <c r="AT173" s="25">
        <f>IF(Table1[[#This Row],[Years_Next_Rehab_Well]]=5,VLOOKUP(Table1[[#This Row],[Item_Rehab_WL]],[1]!Table2[#All],8,FALSE),0)</f>
        <v>0</v>
      </c>
      <c r="AU173" s="25">
        <f>IF(Table1[[#This Row],[Adjusted_ULife_HP]]=5,VLOOKUP(Table1[[#This Row],[Item_Handpump]],[1]!Table2[#All],8,FALSE),0)</f>
        <v>0</v>
      </c>
      <c r="AV173" s="25">
        <f>IF(Table1[[#This Row],[Adjusted_ULife_PF]]=5,VLOOKUP(Table1[[#This Row],[Item_Platform]],[1]!Table2[#All],8,FALSE),0)</f>
        <v>0</v>
      </c>
      <c r="AW173" s="25">
        <f>SUM(Table1[[#This Row],[yr 5_wl]:[yr 5_pf]])</f>
        <v>0</v>
      </c>
      <c r="AX173" s="25">
        <f>IF(Table1[[#This Row],[Years_Next_Rehab_Well]]=6,VLOOKUP(Table1[[#This Row],[Item_Rehab_WL]],[1]!Table2[#All],9,FALSE),0)</f>
        <v>0</v>
      </c>
      <c r="AY173" s="25">
        <f>IF(Table1[[#This Row],[Adjusted_ULife_HP]]=6,VLOOKUP(Table1[[#This Row],[Item_Handpump]],[1]!Table2[#All],9,FALSE),0)</f>
        <v>0</v>
      </c>
      <c r="AZ173" s="25">
        <f>IF(Table1[[#This Row],[Adjusted_ULife_PF]]=6,VLOOKUP(Table1[[#This Row],[Item_Platform]],[1]!Table2[#All],9,FALSE),0)</f>
        <v>0</v>
      </c>
      <c r="BA173" s="25">
        <f>SUM(Table1[[#This Row],[yr 6_wl]:[yr 6_pf]])</f>
        <v>0</v>
      </c>
      <c r="BB173" s="25">
        <f>IF(Table1[[#This Row],[Years_Next_Rehab_Well]]=7,VLOOKUP(Table1[[#This Row],[Item_Rehab_WL]],[1]!Table2[#All],10,FALSE),0)</f>
        <v>0</v>
      </c>
      <c r="BC173" s="25">
        <f>IF(Table1[[#This Row],[Adjusted_ULife_HP]]=7,VLOOKUP(Table1[[#This Row],[Item_Handpump]],[1]!Table2[#All],10,FALSE),0)</f>
        <v>0</v>
      </c>
      <c r="BD173" s="25">
        <f>IF(Table1[[#This Row],[Adjusted_ULife_PF]]=7,VLOOKUP(Table1[[#This Row],[Item_Platform]],[1]!Table2[#All],10,FALSE),0)</f>
        <v>0</v>
      </c>
      <c r="BE173" s="25">
        <f>SUM(Table1[[#This Row],[yr 7_wl]:[yr 7_pf]])</f>
        <v>0</v>
      </c>
      <c r="BF173" s="25">
        <f>IF(Table1[[#This Row],[Years_Next_Rehab_Well]]=8,VLOOKUP(Table1[[#This Row],[Item_Rehab_WL]],[1]!Table2[#All],11,FALSE),0)</f>
        <v>0</v>
      </c>
      <c r="BG173" s="25">
        <f>IF(Table1[[#This Row],[Adjusted_ULife_HP]]=8,VLOOKUP(Table1[[#This Row],[Item_Handpump]],[1]!Table2[#All],11,FALSE),0)</f>
        <v>0</v>
      </c>
      <c r="BH173" s="25">
        <f>IF(Table1[[#This Row],[Adjusted_ULife_PF]]=8,VLOOKUP(Table1[[#This Row],[Item_Platform]],[1]!Table2[#All],11,FALSE),0)</f>
        <v>3713.944764442218</v>
      </c>
      <c r="BI173" s="25">
        <f>SUM(Table1[[#This Row],[yr 8_wl]:[yr 8_pf]])</f>
        <v>3713.944764442218</v>
      </c>
      <c r="BJ173" s="25">
        <f>IF(Table1[[#This Row],[Years_Next_Rehab_Well]]=9,VLOOKUP(Table1[[#This Row],[Item_Rehab_WL]],[1]!Table2[#All],12,FALSE),0)</f>
        <v>0</v>
      </c>
      <c r="BK173" s="25">
        <f>IF(Table1[[#This Row],[Adjusted_ULife_HP]]=9,VLOOKUP(Table1[[#This Row],[Item_Handpump]],[1]!Table2[#All],12,FALSE),0)</f>
        <v>0</v>
      </c>
      <c r="BL173" s="25">
        <f>IF(Table1[[#This Row],[Adjusted_ULife_PF]]=9,VLOOKUP(Table1[[#This Row],[Item_Platform]],[1]!Table2[#All],12,FALSE),0)</f>
        <v>0</v>
      </c>
      <c r="BM173" s="25">
        <f>SUM(Table1[[#This Row],[yr 9_wl]:[yr 9_pf]])</f>
        <v>0</v>
      </c>
      <c r="BN173" s="25">
        <f>IF(Table1[[#This Row],[Years_Next_Rehab_Well]]=10,VLOOKUP(Table1[[#This Row],[Item_Rehab_WL]],[1]!Table2[#All],13,FALSE),0)</f>
        <v>0</v>
      </c>
      <c r="BO173" s="25">
        <f>IF(Table1[[#This Row],[Adjusted_ULife_HP]]=10,VLOOKUP(Table1[[#This Row],[Item_Handpump]],[1]!Table2[#All],13,FALSE),0)</f>
        <v>0</v>
      </c>
      <c r="BP173" s="25">
        <f>IF(Table1[[#This Row],[Adjusted_ULife_PF]]=10,VLOOKUP(Table1[[#This Row],[Item_Platform]],[1]!Table2[#All],13,FALSE),0)</f>
        <v>0</v>
      </c>
      <c r="BQ173" s="25">
        <f>SUM(Table1[[#This Row],[yr 10_wl]:[yr 10_pf]])</f>
        <v>0</v>
      </c>
      <c r="BR173" s="25">
        <f>IF(Table1[[#This Row],[Years_Next_Rehab_Well]]=11,VLOOKUP(Table1[[#This Row],[Item_Rehab_WL]],[1]!Table2[#All],14,FALSE),0)</f>
        <v>0</v>
      </c>
      <c r="BS173" s="25">
        <f>IF(Table1[[#This Row],[Adjusted_ULife_HP]]=11,VLOOKUP(Table1[[#This Row],[Item_Handpump]],[1]!Table2[#All],14,FALSE),0)</f>
        <v>0</v>
      </c>
      <c r="BT173" s="25">
        <f>IF(Table1[[#This Row],[Adjusted_ULife_PF]]=11,VLOOKUP(Table1[[#This Row],[Item_Platform]],[1]!Table2[#All],14,FALSE),0)</f>
        <v>0</v>
      </c>
      <c r="BU173" s="25">
        <f>SUM(Table1[[#This Row],[yr 11_wl]:[yr 11_pf]])</f>
        <v>0</v>
      </c>
      <c r="BV173" s="25">
        <f>IF(Table1[[#This Row],[Years_Next_Rehab_Well]]=12,VLOOKUP(Table1[[#This Row],[Item_Rehab_WL]],[1]!Table2[#All],15,FALSE),0)</f>
        <v>0</v>
      </c>
      <c r="BW173" s="25">
        <f>IF(Table1[[#This Row],[Adjusted_ULife_HP]]=12,VLOOKUP(Table1[[#This Row],[Item_Handpump]],[1]!Table2[#All],15,FALSE),0)</f>
        <v>0</v>
      </c>
      <c r="BX173" s="25">
        <f>IF(Table1[[#This Row],[Adjusted_ULife_PF]]=12,VLOOKUP(Table1[[#This Row],[Item_Platform]],[1]!Table2[#All],15,FALSE),0)</f>
        <v>0</v>
      </c>
      <c r="BY173" s="25">
        <f>SUM(Table1[[#This Row],[yr 12_wl]:[yr 12_pf]])</f>
        <v>0</v>
      </c>
      <c r="BZ173" s="25">
        <f>IF(Table1[[#This Row],[Years_Next_Rehab_Well]]=13,VLOOKUP(Table1[[#This Row],[Item_Rehab_WL]],[1]!Table2[#All],16,FALSE),0)</f>
        <v>0</v>
      </c>
      <c r="CA173" s="25">
        <f>IF(Table1[[#This Row],[Adjusted_ULife_HP]]=13,VLOOKUP(Table1[[#This Row],[Item_Handpump]],[1]!Table2[#All],16,FALSE),0)</f>
        <v>0</v>
      </c>
      <c r="CB173" s="25">
        <f>IF(Table1[[#This Row],[Adjusted_ULife_PF]]=13,VLOOKUP(Table1[[#This Row],[Item_Platform]],[1]!Table2[#All],16,FALSE),0)</f>
        <v>0</v>
      </c>
      <c r="CC173" s="25">
        <f>SUM(Table1[[#This Row],[yr 13_wl]:[yr 13_pf]])</f>
        <v>0</v>
      </c>
      <c r="CD173" s="12"/>
    </row>
    <row r="174" spans="1:82" s="11" customFormat="1" x14ac:dyDescent="0.25">
      <c r="B174" s="22"/>
      <c r="C174" s="22"/>
      <c r="D174" s="22"/>
      <c r="E174" s="22"/>
      <c r="F174" s="22"/>
      <c r="G174" s="23"/>
      <c r="H174" s="22"/>
      <c r="I174" s="21"/>
      <c r="J174" s="21"/>
      <c r="K174" s="23"/>
      <c r="L174" s="22"/>
      <c r="M174" s="21"/>
      <c r="N174" s="22"/>
      <c r="O174" s="22"/>
      <c r="P174" s="23"/>
      <c r="Q174" s="22"/>
      <c r="R174" s="21"/>
      <c r="S174" s="20"/>
      <c r="T174" s="20"/>
      <c r="U174" s="20"/>
      <c r="V174" s="19"/>
      <c r="W174" s="19"/>
      <c r="X174" s="19"/>
      <c r="Y174" s="19"/>
      <c r="Z174" s="18"/>
      <c r="AA174" s="18"/>
      <c r="AB174" s="18"/>
      <c r="AC174" s="18"/>
      <c r="AD174" s="17"/>
      <c r="AE174" s="17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1:82" s="11" customFormat="1" x14ac:dyDescent="0.25">
      <c r="B175" s="22"/>
      <c r="C175" s="22"/>
      <c r="D175" s="22"/>
      <c r="E175" s="22"/>
      <c r="F175" s="22"/>
      <c r="G175" s="23"/>
      <c r="H175" s="22"/>
      <c r="I175" s="21"/>
      <c r="J175" s="21"/>
      <c r="K175" s="23"/>
      <c r="L175" s="22"/>
      <c r="M175" s="21"/>
      <c r="N175" s="22"/>
      <c r="O175" s="22"/>
      <c r="P175" s="23"/>
      <c r="Q175" s="22"/>
      <c r="R175" s="21"/>
      <c r="S175" s="20"/>
      <c r="T175" s="20"/>
      <c r="U175" s="20"/>
      <c r="V175" s="19"/>
      <c r="W175" s="19"/>
      <c r="X175" s="19"/>
      <c r="Y175" s="19"/>
      <c r="Z175" s="18"/>
      <c r="AA175" s="18"/>
      <c r="AB175" s="18"/>
      <c r="AC175" s="18"/>
      <c r="AD175" s="17"/>
      <c r="AE175" s="17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1:82" s="11" customFormat="1" x14ac:dyDescent="0.25">
      <c r="B176" s="22"/>
      <c r="C176" s="22"/>
      <c r="D176" s="22"/>
      <c r="E176" s="22"/>
      <c r="F176" s="22"/>
      <c r="G176" s="23"/>
      <c r="H176" s="22"/>
      <c r="I176" s="21"/>
      <c r="J176" s="21"/>
      <c r="K176" s="23"/>
      <c r="L176" s="22"/>
      <c r="M176" s="21"/>
      <c r="N176" s="22"/>
      <c r="O176" s="22"/>
      <c r="P176" s="23"/>
      <c r="Q176" s="22"/>
      <c r="R176" s="21"/>
      <c r="S176" s="20"/>
      <c r="T176" s="20"/>
      <c r="U176" s="20"/>
      <c r="V176" s="19"/>
      <c r="W176" s="19"/>
      <c r="X176" s="19"/>
      <c r="Y176" s="19"/>
      <c r="Z176" s="18"/>
      <c r="AA176" s="18"/>
      <c r="AB176" s="18"/>
      <c r="AC176" s="18"/>
      <c r="AD176" s="17"/>
      <c r="AE176" s="17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2:82" s="11" customFormat="1" x14ac:dyDescent="0.25">
      <c r="B177" s="22"/>
      <c r="C177" s="22"/>
      <c r="D177" s="22"/>
      <c r="E177" s="22"/>
      <c r="F177" s="22"/>
      <c r="G177" s="23"/>
      <c r="H177" s="22"/>
      <c r="I177" s="21"/>
      <c r="J177" s="21"/>
      <c r="K177" s="23"/>
      <c r="L177" s="22"/>
      <c r="M177" s="21"/>
      <c r="N177" s="22"/>
      <c r="O177" s="22"/>
      <c r="P177" s="23"/>
      <c r="Q177" s="22"/>
      <c r="R177" s="21"/>
      <c r="S177" s="20"/>
      <c r="T177" s="20"/>
      <c r="U177" s="20"/>
      <c r="V177" s="26"/>
      <c r="W177" s="26"/>
      <c r="X177" s="26"/>
      <c r="Y177" s="26"/>
      <c r="Z177" s="25"/>
      <c r="AA177" s="25"/>
      <c r="AB177" s="25"/>
      <c r="AC177" s="25"/>
      <c r="AD177" s="24"/>
      <c r="AE177" s="24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2:82" s="11" customFormat="1" x14ac:dyDescent="0.25">
      <c r="B178" s="22"/>
      <c r="C178" s="22"/>
      <c r="D178" s="22"/>
      <c r="E178" s="22"/>
      <c r="F178" s="22"/>
      <c r="G178" s="23"/>
      <c r="H178" s="22"/>
      <c r="I178" s="21"/>
      <c r="J178" s="21"/>
      <c r="K178" s="23"/>
      <c r="L178" s="22"/>
      <c r="M178" s="21"/>
      <c r="N178" s="22"/>
      <c r="O178" s="22"/>
      <c r="P178" s="23"/>
      <c r="Q178" s="22"/>
      <c r="R178" s="21"/>
      <c r="S178" s="20"/>
      <c r="T178" s="20"/>
      <c r="U178" s="20"/>
      <c r="V178" s="26"/>
      <c r="W178" s="26"/>
      <c r="X178" s="26"/>
      <c r="Y178" s="26"/>
      <c r="Z178" s="25"/>
      <c r="AA178" s="25"/>
      <c r="AB178" s="25"/>
      <c r="AC178" s="25"/>
      <c r="AD178" s="24"/>
      <c r="AE178" s="24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2:82" s="11" customFormat="1" x14ac:dyDescent="0.25">
      <c r="B179" s="22"/>
      <c r="C179" s="22"/>
      <c r="D179" s="22"/>
      <c r="E179" s="22"/>
      <c r="F179" s="22"/>
      <c r="G179" s="23"/>
      <c r="H179" s="22"/>
      <c r="I179" s="21"/>
      <c r="J179" s="21"/>
      <c r="K179" s="23"/>
      <c r="L179" s="22"/>
      <c r="M179" s="21"/>
      <c r="N179" s="22"/>
      <c r="O179" s="22"/>
      <c r="P179" s="23"/>
      <c r="Q179" s="22"/>
      <c r="R179" s="21"/>
      <c r="S179" s="20"/>
      <c r="T179" s="20"/>
      <c r="U179" s="20"/>
      <c r="V179" s="19"/>
      <c r="W179" s="19"/>
      <c r="X179" s="19"/>
      <c r="Y179" s="19"/>
      <c r="Z179" s="18"/>
      <c r="AA179" s="18"/>
      <c r="AB179" s="18"/>
      <c r="AC179" s="18"/>
      <c r="AD179" s="17"/>
      <c r="AE179" s="17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</row>
    <row r="180" spans="2:82" s="11" customFormat="1" x14ac:dyDescent="0.25">
      <c r="B180" s="22"/>
      <c r="C180" s="22"/>
      <c r="D180" s="22"/>
      <c r="E180" s="22"/>
      <c r="F180" s="22"/>
      <c r="G180" s="23"/>
      <c r="H180" s="22"/>
      <c r="I180" s="21"/>
      <c r="J180" s="21"/>
      <c r="K180" s="23"/>
      <c r="L180" s="22"/>
      <c r="M180" s="21"/>
      <c r="N180" s="22"/>
      <c r="O180" s="22"/>
      <c r="P180" s="23"/>
      <c r="Q180" s="22"/>
      <c r="R180" s="21"/>
      <c r="S180" s="20"/>
      <c r="T180" s="20"/>
      <c r="U180" s="20"/>
      <c r="V180" s="19"/>
      <c r="W180" s="19"/>
      <c r="X180" s="19"/>
      <c r="Y180" s="19"/>
      <c r="Z180" s="18"/>
      <c r="AA180" s="18"/>
      <c r="AB180" s="18"/>
      <c r="AC180" s="18"/>
      <c r="AD180" s="17"/>
      <c r="AE180" s="17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</row>
    <row r="181" spans="2:82" s="11" customFormat="1" x14ac:dyDescent="0.25">
      <c r="B181" s="22"/>
      <c r="C181" s="22"/>
      <c r="D181" s="22"/>
      <c r="E181" s="22"/>
      <c r="F181" s="22"/>
      <c r="G181" s="23"/>
      <c r="H181" s="22"/>
      <c r="I181" s="21"/>
      <c r="J181" s="21"/>
      <c r="K181" s="23"/>
      <c r="L181" s="22"/>
      <c r="M181" s="21"/>
      <c r="N181" s="22"/>
      <c r="O181" s="22"/>
      <c r="P181" s="23"/>
      <c r="Q181" s="22"/>
      <c r="R181" s="21"/>
      <c r="S181" s="20"/>
      <c r="T181" s="20"/>
      <c r="U181" s="20"/>
      <c r="V181" s="19"/>
      <c r="W181" s="19"/>
      <c r="X181" s="19"/>
      <c r="Y181" s="19"/>
      <c r="Z181" s="18"/>
      <c r="AA181" s="18"/>
      <c r="AB181" s="18"/>
      <c r="AC181" s="18"/>
      <c r="AD181" s="17"/>
      <c r="AE181" s="17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</row>
    <row r="182" spans="2:82" s="11" customFormat="1" x14ac:dyDescent="0.25">
      <c r="B182" s="22"/>
      <c r="C182" s="22"/>
      <c r="D182" s="22"/>
      <c r="E182" s="22"/>
      <c r="F182" s="22"/>
      <c r="G182" s="23"/>
      <c r="H182" s="22"/>
      <c r="I182" s="21"/>
      <c r="J182" s="21"/>
      <c r="K182" s="23"/>
      <c r="L182" s="22"/>
      <c r="M182" s="21"/>
      <c r="N182" s="22"/>
      <c r="O182" s="22"/>
      <c r="P182" s="23"/>
      <c r="Q182" s="22"/>
      <c r="R182" s="21"/>
      <c r="S182" s="20"/>
      <c r="T182" s="20"/>
      <c r="U182" s="20"/>
      <c r="V182" s="19"/>
      <c r="W182" s="19"/>
      <c r="X182" s="19"/>
      <c r="Y182" s="19"/>
      <c r="Z182" s="18"/>
      <c r="AA182" s="18"/>
      <c r="AB182" s="18"/>
      <c r="AC182" s="18"/>
      <c r="AD182" s="17"/>
      <c r="AE182" s="17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2:82" s="11" customFormat="1" x14ac:dyDescent="0.25">
      <c r="B183" s="22"/>
      <c r="C183" s="22"/>
      <c r="D183" s="22"/>
      <c r="E183" s="22"/>
      <c r="F183" s="22"/>
      <c r="G183" s="23"/>
      <c r="H183" s="22"/>
      <c r="I183" s="21"/>
      <c r="J183" s="21"/>
      <c r="K183" s="23"/>
      <c r="L183" s="22"/>
      <c r="M183" s="21"/>
      <c r="N183" s="22"/>
      <c r="O183" s="22"/>
      <c r="P183" s="23"/>
      <c r="Q183" s="22"/>
      <c r="R183" s="21"/>
      <c r="S183" s="20"/>
      <c r="T183" s="20"/>
      <c r="U183" s="20"/>
      <c r="V183" s="19"/>
      <c r="W183" s="19"/>
      <c r="X183" s="19"/>
      <c r="Y183" s="19"/>
      <c r="Z183" s="18"/>
      <c r="AA183" s="18"/>
      <c r="AB183" s="18"/>
      <c r="AC183" s="18"/>
      <c r="AD183" s="17"/>
      <c r="AE183" s="17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2:82" s="11" customFormat="1" x14ac:dyDescent="0.25">
      <c r="B184" s="22"/>
      <c r="C184" s="22"/>
      <c r="D184" s="22"/>
      <c r="E184" s="22"/>
      <c r="F184" s="22"/>
      <c r="G184" s="23"/>
      <c r="H184" s="22"/>
      <c r="I184" s="21"/>
      <c r="J184" s="21"/>
      <c r="K184" s="23"/>
      <c r="L184" s="22"/>
      <c r="M184" s="21"/>
      <c r="N184" s="22"/>
      <c r="O184" s="22"/>
      <c r="P184" s="23"/>
      <c r="Q184" s="22"/>
      <c r="R184" s="21"/>
      <c r="S184" s="20"/>
      <c r="T184" s="20"/>
      <c r="U184" s="20"/>
      <c r="V184" s="19"/>
      <c r="W184" s="19"/>
      <c r="X184" s="19"/>
      <c r="Y184" s="19"/>
      <c r="Z184" s="18"/>
      <c r="AA184" s="18"/>
      <c r="AB184" s="18"/>
      <c r="AC184" s="18"/>
      <c r="AD184" s="17"/>
      <c r="AE184" s="17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2:82" s="11" customFormat="1" x14ac:dyDescent="0.25">
      <c r="B185" s="22"/>
      <c r="C185" s="22"/>
      <c r="D185" s="22"/>
      <c r="E185" s="22"/>
      <c r="F185" s="22"/>
      <c r="G185" s="23"/>
      <c r="H185" s="22"/>
      <c r="I185" s="21"/>
      <c r="J185" s="21"/>
      <c r="K185" s="23"/>
      <c r="L185" s="22"/>
      <c r="M185" s="21"/>
      <c r="N185" s="22"/>
      <c r="O185" s="22"/>
      <c r="P185" s="23"/>
      <c r="Q185" s="22"/>
      <c r="R185" s="21"/>
      <c r="S185" s="20"/>
      <c r="T185" s="20"/>
      <c r="U185" s="20"/>
      <c r="V185" s="19"/>
      <c r="W185" s="19"/>
      <c r="X185" s="19"/>
      <c r="Y185" s="19"/>
      <c r="Z185" s="18"/>
      <c r="AA185" s="18"/>
      <c r="AB185" s="18"/>
      <c r="AC185" s="18"/>
      <c r="AD185" s="17"/>
      <c r="AE185" s="17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2:82" s="11" customFormat="1" x14ac:dyDescent="0.25">
      <c r="B186" s="22"/>
      <c r="C186" s="22"/>
      <c r="D186" s="22"/>
      <c r="E186" s="22"/>
      <c r="F186" s="22"/>
      <c r="G186" s="23"/>
      <c r="H186" s="22"/>
      <c r="I186" s="21"/>
      <c r="J186" s="21"/>
      <c r="K186" s="23"/>
      <c r="L186" s="22"/>
      <c r="M186" s="21"/>
      <c r="N186" s="22"/>
      <c r="O186" s="22"/>
      <c r="P186" s="23"/>
      <c r="Q186" s="22"/>
      <c r="R186" s="21"/>
      <c r="S186" s="20"/>
      <c r="T186" s="20"/>
      <c r="U186" s="20"/>
      <c r="V186" s="19"/>
      <c r="W186" s="19"/>
      <c r="X186" s="19"/>
      <c r="Y186" s="19"/>
      <c r="Z186" s="18"/>
      <c r="AA186" s="18"/>
      <c r="AB186" s="18"/>
      <c r="AC186" s="18"/>
      <c r="AD186" s="17"/>
      <c r="AE186" s="17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2:82" s="11" customFormat="1" x14ac:dyDescent="0.25">
      <c r="B187" s="22"/>
      <c r="C187" s="22"/>
      <c r="D187" s="22"/>
      <c r="E187" s="22"/>
      <c r="F187" s="22"/>
      <c r="G187" s="23"/>
      <c r="H187" s="22"/>
      <c r="I187" s="21"/>
      <c r="J187" s="21"/>
      <c r="K187" s="23"/>
      <c r="L187" s="22"/>
      <c r="M187" s="21"/>
      <c r="N187" s="22"/>
      <c r="O187" s="22"/>
      <c r="P187" s="23"/>
      <c r="Q187" s="22"/>
      <c r="R187" s="21"/>
      <c r="S187" s="20"/>
      <c r="T187" s="20"/>
      <c r="U187" s="20"/>
      <c r="V187" s="19"/>
      <c r="W187" s="19"/>
      <c r="X187" s="19"/>
      <c r="Y187" s="19"/>
      <c r="Z187" s="18"/>
      <c r="AA187" s="18"/>
      <c r="AB187" s="18"/>
      <c r="AC187" s="18"/>
      <c r="AD187" s="17"/>
      <c r="AE187" s="17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2:82" s="11" customFormat="1" x14ac:dyDescent="0.25">
      <c r="B188" s="22"/>
      <c r="C188" s="22"/>
      <c r="D188" s="22"/>
      <c r="E188" s="22"/>
      <c r="F188" s="22"/>
      <c r="G188" s="23"/>
      <c r="H188" s="22"/>
      <c r="I188" s="21"/>
      <c r="J188" s="21"/>
      <c r="K188" s="23"/>
      <c r="L188" s="22"/>
      <c r="M188" s="21"/>
      <c r="N188" s="22"/>
      <c r="O188" s="22"/>
      <c r="P188" s="23"/>
      <c r="Q188" s="22"/>
      <c r="R188" s="21"/>
      <c r="S188" s="20"/>
      <c r="T188" s="20"/>
      <c r="U188" s="20"/>
      <c r="V188" s="19"/>
      <c r="W188" s="19"/>
      <c r="X188" s="19"/>
      <c r="Y188" s="19"/>
      <c r="Z188" s="18"/>
      <c r="AA188" s="18"/>
      <c r="AB188" s="18"/>
      <c r="AC188" s="18"/>
      <c r="AD188" s="17"/>
      <c r="AE188" s="17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2:82" s="11" customFormat="1" x14ac:dyDescent="0.25">
      <c r="B189" s="22"/>
      <c r="C189" s="22"/>
      <c r="D189" s="22"/>
      <c r="E189" s="22"/>
      <c r="F189" s="22"/>
      <c r="G189" s="23"/>
      <c r="H189" s="22"/>
      <c r="I189" s="21"/>
      <c r="J189" s="21"/>
      <c r="K189" s="23"/>
      <c r="L189" s="22"/>
      <c r="M189" s="21"/>
      <c r="N189" s="22"/>
      <c r="O189" s="22"/>
      <c r="P189" s="23"/>
      <c r="Q189" s="22"/>
      <c r="R189" s="21"/>
      <c r="S189" s="20"/>
      <c r="T189" s="20"/>
      <c r="U189" s="20"/>
      <c r="V189" s="26"/>
      <c r="W189" s="26"/>
      <c r="X189" s="26"/>
      <c r="Y189" s="26"/>
      <c r="Z189" s="25"/>
      <c r="AA189" s="25"/>
      <c r="AB189" s="25"/>
      <c r="AC189" s="25"/>
      <c r="AD189" s="24"/>
      <c r="AE189" s="24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2:82" s="11" customFormat="1" x14ac:dyDescent="0.25">
      <c r="B190" s="22"/>
      <c r="C190" s="22"/>
      <c r="D190" s="22"/>
      <c r="E190" s="22"/>
      <c r="F190" s="22"/>
      <c r="G190" s="23"/>
      <c r="H190" s="22"/>
      <c r="I190" s="21"/>
      <c r="J190" s="21"/>
      <c r="K190" s="23"/>
      <c r="L190" s="22"/>
      <c r="M190" s="21"/>
      <c r="N190" s="22"/>
      <c r="O190" s="22"/>
      <c r="P190" s="23"/>
      <c r="Q190" s="22"/>
      <c r="R190" s="21"/>
      <c r="S190" s="20"/>
      <c r="T190" s="20"/>
      <c r="U190" s="20"/>
      <c r="V190" s="26"/>
      <c r="W190" s="26"/>
      <c r="X190" s="26"/>
      <c r="Y190" s="26"/>
      <c r="Z190" s="25"/>
      <c r="AA190" s="25"/>
      <c r="AB190" s="25"/>
      <c r="AC190" s="25"/>
      <c r="AD190" s="24"/>
      <c r="AE190" s="24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2:82" s="11" customFormat="1" x14ac:dyDescent="0.25">
      <c r="B191" s="22"/>
      <c r="C191" s="22"/>
      <c r="D191" s="22"/>
      <c r="E191" s="22"/>
      <c r="F191" s="22"/>
      <c r="G191" s="23"/>
      <c r="H191" s="22"/>
      <c r="I191" s="21"/>
      <c r="J191" s="21"/>
      <c r="K191" s="23"/>
      <c r="L191" s="22"/>
      <c r="M191" s="21"/>
      <c r="N191" s="22"/>
      <c r="O191" s="22"/>
      <c r="P191" s="23"/>
      <c r="Q191" s="22"/>
      <c r="R191" s="21"/>
      <c r="S191" s="20"/>
      <c r="T191" s="20"/>
      <c r="U191" s="20"/>
      <c r="V191" s="19"/>
      <c r="W191" s="19"/>
      <c r="X191" s="19"/>
      <c r="Y191" s="19"/>
      <c r="Z191" s="18"/>
      <c r="AA191" s="18"/>
      <c r="AB191" s="18"/>
      <c r="AC191" s="18"/>
      <c r="AD191" s="17"/>
      <c r="AE191" s="17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2:82" s="11" customFormat="1" x14ac:dyDescent="0.25">
      <c r="B192" s="22"/>
      <c r="C192" s="22"/>
      <c r="D192" s="22"/>
      <c r="E192" s="22"/>
      <c r="F192" s="22"/>
      <c r="G192" s="23"/>
      <c r="H192" s="22"/>
      <c r="I192" s="21"/>
      <c r="J192" s="21"/>
      <c r="K192" s="23"/>
      <c r="L192" s="22"/>
      <c r="M192" s="21"/>
      <c r="N192" s="22"/>
      <c r="O192" s="22"/>
      <c r="P192" s="23"/>
      <c r="Q192" s="22"/>
      <c r="R192" s="21"/>
      <c r="S192" s="20"/>
      <c r="T192" s="20"/>
      <c r="U192" s="20"/>
      <c r="V192" s="19"/>
      <c r="W192" s="19"/>
      <c r="X192" s="19"/>
      <c r="Y192" s="19"/>
      <c r="Z192" s="18"/>
      <c r="AA192" s="18"/>
      <c r="AB192" s="18"/>
      <c r="AC192" s="18"/>
      <c r="AD192" s="17"/>
      <c r="AE192" s="17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</row>
    <row r="193" spans="2:82" s="11" customFormat="1" x14ac:dyDescent="0.25">
      <c r="B193" s="22"/>
      <c r="C193" s="22"/>
      <c r="D193" s="22"/>
      <c r="E193" s="22"/>
      <c r="F193" s="22"/>
      <c r="G193" s="23"/>
      <c r="H193" s="22"/>
      <c r="I193" s="21"/>
      <c r="J193" s="21"/>
      <c r="K193" s="23"/>
      <c r="L193" s="22"/>
      <c r="M193" s="21"/>
      <c r="N193" s="22"/>
      <c r="O193" s="22"/>
      <c r="P193" s="23"/>
      <c r="Q193" s="22"/>
      <c r="R193" s="21"/>
      <c r="S193" s="20"/>
      <c r="T193" s="20"/>
      <c r="U193" s="20"/>
      <c r="V193" s="19"/>
      <c r="W193" s="19"/>
      <c r="X193" s="19"/>
      <c r="Y193" s="19"/>
      <c r="Z193" s="18"/>
      <c r="AA193" s="18"/>
      <c r="AB193" s="18"/>
      <c r="AC193" s="18"/>
      <c r="AD193" s="17"/>
      <c r="AE193" s="17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</row>
    <row r="194" spans="2:82" s="11" customFormat="1" x14ac:dyDescent="0.25">
      <c r="B194" s="22"/>
      <c r="C194" s="22"/>
      <c r="D194" s="22"/>
      <c r="E194" s="22"/>
      <c r="F194" s="22"/>
      <c r="G194" s="23"/>
      <c r="H194" s="22"/>
      <c r="I194" s="21"/>
      <c r="J194" s="21"/>
      <c r="K194" s="23"/>
      <c r="L194" s="22"/>
      <c r="M194" s="21"/>
      <c r="N194" s="22"/>
      <c r="O194" s="22"/>
      <c r="P194" s="23"/>
      <c r="Q194" s="22"/>
      <c r="R194" s="21"/>
      <c r="S194" s="20"/>
      <c r="T194" s="20"/>
      <c r="U194" s="20"/>
      <c r="V194" s="19"/>
      <c r="W194" s="19"/>
      <c r="X194" s="19"/>
      <c r="Y194" s="19"/>
      <c r="Z194" s="18"/>
      <c r="AA194" s="18"/>
      <c r="AB194" s="18"/>
      <c r="AC194" s="18"/>
      <c r="AD194" s="17"/>
      <c r="AE194" s="17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</row>
    <row r="195" spans="2:82" s="11" customFormat="1" x14ac:dyDescent="0.25">
      <c r="B195" s="22"/>
      <c r="C195" s="22"/>
      <c r="D195" s="22"/>
      <c r="E195" s="22"/>
      <c r="F195" s="22"/>
      <c r="G195" s="23"/>
      <c r="H195" s="22"/>
      <c r="I195" s="21"/>
      <c r="J195" s="21"/>
      <c r="K195" s="23"/>
      <c r="L195" s="22"/>
      <c r="M195" s="21"/>
      <c r="N195" s="22"/>
      <c r="O195" s="22"/>
      <c r="P195" s="23"/>
      <c r="Q195" s="22"/>
      <c r="R195" s="21"/>
      <c r="S195" s="20"/>
      <c r="T195" s="20"/>
      <c r="U195" s="20"/>
      <c r="V195" s="19"/>
      <c r="W195" s="19"/>
      <c r="X195" s="19"/>
      <c r="Y195" s="19"/>
      <c r="Z195" s="18"/>
      <c r="AA195" s="18"/>
      <c r="AB195" s="18"/>
      <c r="AC195" s="18"/>
      <c r="AD195" s="17"/>
      <c r="AE195" s="17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</row>
    <row r="196" spans="2:82" s="11" customFormat="1" x14ac:dyDescent="0.25">
      <c r="B196" s="22"/>
      <c r="C196" s="22"/>
      <c r="D196" s="22"/>
      <c r="E196" s="22"/>
      <c r="F196" s="22"/>
      <c r="G196" s="23"/>
      <c r="H196" s="22"/>
      <c r="I196" s="21"/>
      <c r="J196" s="21"/>
      <c r="K196" s="23"/>
      <c r="L196" s="22"/>
      <c r="M196" s="21"/>
      <c r="N196" s="22"/>
      <c r="O196" s="22"/>
      <c r="P196" s="23"/>
      <c r="Q196" s="22"/>
      <c r="R196" s="21"/>
      <c r="S196" s="20"/>
      <c r="T196" s="20"/>
      <c r="U196" s="20"/>
      <c r="V196" s="19"/>
      <c r="W196" s="19"/>
      <c r="X196" s="19"/>
      <c r="Y196" s="19"/>
      <c r="Z196" s="18"/>
      <c r="AA196" s="18"/>
      <c r="AB196" s="18"/>
      <c r="AC196" s="18"/>
      <c r="AD196" s="17"/>
      <c r="AE196" s="17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</row>
    <row r="197" spans="2:82" s="11" customFormat="1" x14ac:dyDescent="0.25">
      <c r="B197" s="22"/>
      <c r="C197" s="22"/>
      <c r="D197" s="22"/>
      <c r="E197" s="22"/>
      <c r="F197" s="22"/>
      <c r="G197" s="23"/>
      <c r="H197" s="22"/>
      <c r="I197" s="21"/>
      <c r="J197" s="21"/>
      <c r="K197" s="23"/>
      <c r="L197" s="22"/>
      <c r="M197" s="21"/>
      <c r="N197" s="22"/>
      <c r="O197" s="22"/>
      <c r="P197" s="23"/>
      <c r="Q197" s="22"/>
      <c r="R197" s="21"/>
      <c r="S197" s="20"/>
      <c r="T197" s="20"/>
      <c r="U197" s="20"/>
      <c r="V197" s="19"/>
      <c r="W197" s="19"/>
      <c r="X197" s="19"/>
      <c r="Y197" s="19"/>
      <c r="Z197" s="18"/>
      <c r="AA197" s="18"/>
      <c r="AB197" s="18"/>
      <c r="AC197" s="18"/>
      <c r="AD197" s="17"/>
      <c r="AE197" s="17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</row>
    <row r="198" spans="2:82" s="11" customFormat="1" x14ac:dyDescent="0.25">
      <c r="B198" s="22"/>
      <c r="C198" s="22"/>
      <c r="D198" s="22"/>
      <c r="E198" s="22"/>
      <c r="F198" s="22"/>
      <c r="G198" s="23"/>
      <c r="H198" s="22"/>
      <c r="I198" s="21"/>
      <c r="J198" s="21"/>
      <c r="K198" s="23"/>
      <c r="L198" s="22"/>
      <c r="M198" s="21"/>
      <c r="N198" s="22"/>
      <c r="O198" s="22"/>
      <c r="P198" s="23"/>
      <c r="Q198" s="22"/>
      <c r="R198" s="21"/>
      <c r="S198" s="20"/>
      <c r="T198" s="20"/>
      <c r="U198" s="20"/>
      <c r="V198" s="19"/>
      <c r="W198" s="19"/>
      <c r="X198" s="19"/>
      <c r="Y198" s="19"/>
      <c r="Z198" s="18"/>
      <c r="AA198" s="18"/>
      <c r="AB198" s="18"/>
      <c r="AC198" s="18"/>
      <c r="AD198" s="17"/>
      <c r="AE198" s="17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</row>
    <row r="199" spans="2:82" s="11" customFormat="1" x14ac:dyDescent="0.25">
      <c r="B199" s="22"/>
      <c r="C199" s="22"/>
      <c r="D199" s="22"/>
      <c r="E199" s="22"/>
      <c r="F199" s="22"/>
      <c r="G199" s="23"/>
      <c r="H199" s="22"/>
      <c r="I199" s="21"/>
      <c r="J199" s="21"/>
      <c r="K199" s="23"/>
      <c r="L199" s="22"/>
      <c r="M199" s="21"/>
      <c r="N199" s="22"/>
      <c r="O199" s="22"/>
      <c r="P199" s="23"/>
      <c r="Q199" s="22"/>
      <c r="R199" s="21"/>
      <c r="S199" s="20"/>
      <c r="T199" s="20"/>
      <c r="U199" s="20"/>
      <c r="V199" s="19"/>
      <c r="W199" s="19"/>
      <c r="X199" s="19"/>
      <c r="Y199" s="19"/>
      <c r="Z199" s="18"/>
      <c r="AA199" s="18"/>
      <c r="AB199" s="18"/>
      <c r="AC199" s="18"/>
      <c r="AD199" s="17"/>
      <c r="AE199" s="17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2:82" s="11" customFormat="1" x14ac:dyDescent="0.25">
      <c r="B200" s="22"/>
      <c r="C200" s="22"/>
      <c r="D200" s="22"/>
      <c r="E200" s="22"/>
      <c r="F200" s="22"/>
      <c r="G200" s="23"/>
      <c r="H200" s="22"/>
      <c r="I200" s="21"/>
      <c r="J200" s="21"/>
      <c r="K200" s="23"/>
      <c r="L200" s="22"/>
      <c r="M200" s="21"/>
      <c r="N200" s="22"/>
      <c r="O200" s="22"/>
      <c r="P200" s="23"/>
      <c r="Q200" s="22"/>
      <c r="R200" s="21"/>
      <c r="S200" s="20"/>
      <c r="T200" s="20"/>
      <c r="U200" s="20"/>
      <c r="V200" s="19"/>
      <c r="W200" s="19"/>
      <c r="X200" s="19"/>
      <c r="Y200" s="19"/>
      <c r="Z200" s="18"/>
      <c r="AA200" s="18"/>
      <c r="AB200" s="18"/>
      <c r="AC200" s="18"/>
      <c r="AD200" s="17"/>
      <c r="AE200" s="17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2:82" s="11" customFormat="1" x14ac:dyDescent="0.25">
      <c r="B201" s="22"/>
      <c r="C201" s="22"/>
      <c r="D201" s="22"/>
      <c r="E201" s="22"/>
      <c r="F201" s="22"/>
      <c r="G201" s="23"/>
      <c r="H201" s="22"/>
      <c r="I201" s="21"/>
      <c r="J201" s="21"/>
      <c r="K201" s="23"/>
      <c r="L201" s="22"/>
      <c r="M201" s="21"/>
      <c r="N201" s="22"/>
      <c r="O201" s="22"/>
      <c r="P201" s="23"/>
      <c r="Q201" s="22"/>
      <c r="R201" s="21"/>
      <c r="S201" s="20"/>
      <c r="T201" s="20"/>
      <c r="U201" s="20"/>
      <c r="V201" s="26"/>
      <c r="W201" s="26"/>
      <c r="X201" s="26"/>
      <c r="Y201" s="26"/>
      <c r="Z201" s="25"/>
      <c r="AA201" s="25"/>
      <c r="AB201" s="25"/>
      <c r="AC201" s="25"/>
      <c r="AD201" s="24"/>
      <c r="AE201" s="24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2:82" s="11" customFormat="1" x14ac:dyDescent="0.25">
      <c r="B202" s="22"/>
      <c r="C202" s="22"/>
      <c r="D202" s="22"/>
      <c r="E202" s="22"/>
      <c r="F202" s="22"/>
      <c r="G202" s="23"/>
      <c r="H202" s="22"/>
      <c r="I202" s="21"/>
      <c r="J202" s="21"/>
      <c r="K202" s="23"/>
      <c r="L202" s="22"/>
      <c r="M202" s="21"/>
      <c r="N202" s="22"/>
      <c r="O202" s="22"/>
      <c r="P202" s="23"/>
      <c r="Q202" s="22"/>
      <c r="R202" s="21"/>
      <c r="S202" s="20"/>
      <c r="T202" s="20"/>
      <c r="U202" s="20"/>
      <c r="V202" s="26"/>
      <c r="W202" s="26"/>
      <c r="X202" s="26"/>
      <c r="Y202" s="26"/>
      <c r="Z202" s="25"/>
      <c r="AA202" s="25"/>
      <c r="AB202" s="25"/>
      <c r="AC202" s="25"/>
      <c r="AD202" s="24"/>
      <c r="AE202" s="24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2:82" s="11" customFormat="1" x14ac:dyDescent="0.25">
      <c r="B203" s="22"/>
      <c r="C203" s="22"/>
      <c r="D203" s="22"/>
      <c r="E203" s="22"/>
      <c r="F203" s="22"/>
      <c r="G203" s="23"/>
      <c r="H203" s="22"/>
      <c r="I203" s="21"/>
      <c r="J203" s="21"/>
      <c r="K203" s="23"/>
      <c r="L203" s="22"/>
      <c r="M203" s="21"/>
      <c r="N203" s="22"/>
      <c r="O203" s="22"/>
      <c r="P203" s="23"/>
      <c r="Q203" s="22"/>
      <c r="R203" s="21"/>
      <c r="S203" s="20"/>
      <c r="T203" s="20"/>
      <c r="U203" s="20"/>
      <c r="V203" s="19"/>
      <c r="W203" s="19"/>
      <c r="X203" s="19"/>
      <c r="Y203" s="19"/>
      <c r="Z203" s="18"/>
      <c r="AA203" s="18"/>
      <c r="AB203" s="18"/>
      <c r="AC203" s="18"/>
      <c r="AD203" s="17"/>
      <c r="AE203" s="17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2:82" s="11" customFormat="1" x14ac:dyDescent="0.25">
      <c r="B204" s="22"/>
      <c r="C204" s="22"/>
      <c r="D204" s="22"/>
      <c r="E204" s="22"/>
      <c r="F204" s="22"/>
      <c r="G204" s="23"/>
      <c r="H204" s="22"/>
      <c r="I204" s="21"/>
      <c r="J204" s="21"/>
      <c r="K204" s="23"/>
      <c r="L204" s="22"/>
      <c r="M204" s="21"/>
      <c r="N204" s="22"/>
      <c r="O204" s="22"/>
      <c r="P204" s="23"/>
      <c r="Q204" s="22"/>
      <c r="R204" s="21"/>
      <c r="S204" s="20"/>
      <c r="T204" s="20"/>
      <c r="U204" s="20"/>
      <c r="V204" s="19"/>
      <c r="W204" s="19"/>
      <c r="X204" s="19"/>
      <c r="Y204" s="19"/>
      <c r="Z204" s="18"/>
      <c r="AA204" s="18"/>
      <c r="AB204" s="18"/>
      <c r="AC204" s="18"/>
      <c r="AD204" s="17"/>
      <c r="AE204" s="17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2:82" s="11" customFormat="1" x14ac:dyDescent="0.25">
      <c r="B205" s="22"/>
      <c r="C205" s="22"/>
      <c r="D205" s="22"/>
      <c r="E205" s="22"/>
      <c r="F205" s="22"/>
      <c r="G205" s="23"/>
      <c r="H205" s="22"/>
      <c r="I205" s="21"/>
      <c r="J205" s="21"/>
      <c r="K205" s="23"/>
      <c r="L205" s="22"/>
      <c r="M205" s="21"/>
      <c r="N205" s="22"/>
      <c r="O205" s="22"/>
      <c r="P205" s="23"/>
      <c r="Q205" s="22"/>
      <c r="R205" s="21"/>
      <c r="S205" s="20"/>
      <c r="T205" s="20"/>
      <c r="U205" s="20"/>
      <c r="V205" s="19"/>
      <c r="W205" s="19"/>
      <c r="X205" s="19"/>
      <c r="Y205" s="19"/>
      <c r="Z205" s="18"/>
      <c r="AA205" s="18"/>
      <c r="AB205" s="18"/>
      <c r="AC205" s="18"/>
      <c r="AD205" s="17"/>
      <c r="AE205" s="17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2:82" s="11" customFormat="1" x14ac:dyDescent="0.25">
      <c r="B206" s="22"/>
      <c r="C206" s="22"/>
      <c r="D206" s="22"/>
      <c r="E206" s="22"/>
      <c r="F206" s="22"/>
      <c r="G206" s="23"/>
      <c r="H206" s="22"/>
      <c r="I206" s="21"/>
      <c r="J206" s="21"/>
      <c r="K206" s="23"/>
      <c r="L206" s="22"/>
      <c r="M206" s="21"/>
      <c r="N206" s="22"/>
      <c r="O206" s="22"/>
      <c r="P206" s="23"/>
      <c r="Q206" s="22"/>
      <c r="R206" s="21"/>
      <c r="S206" s="20"/>
      <c r="T206" s="20"/>
      <c r="U206" s="20"/>
      <c r="V206" s="19"/>
      <c r="W206" s="19"/>
      <c r="X206" s="19"/>
      <c r="Y206" s="19"/>
      <c r="Z206" s="18"/>
      <c r="AA206" s="18"/>
      <c r="AB206" s="18"/>
      <c r="AC206" s="18"/>
      <c r="AD206" s="17"/>
      <c r="AE206" s="17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2:82" s="11" customFormat="1" x14ac:dyDescent="0.25">
      <c r="B207" s="22"/>
      <c r="C207" s="22"/>
      <c r="D207" s="22"/>
      <c r="E207" s="22"/>
      <c r="F207" s="22"/>
      <c r="G207" s="23"/>
      <c r="H207" s="22"/>
      <c r="I207" s="21"/>
      <c r="J207" s="21"/>
      <c r="K207" s="23"/>
      <c r="L207" s="22"/>
      <c r="M207" s="21"/>
      <c r="N207" s="22"/>
      <c r="O207" s="22"/>
      <c r="P207" s="23"/>
      <c r="Q207" s="22"/>
      <c r="R207" s="21"/>
      <c r="S207" s="20"/>
      <c r="T207" s="20"/>
      <c r="U207" s="20"/>
      <c r="V207" s="19"/>
      <c r="W207" s="19"/>
      <c r="X207" s="19"/>
      <c r="Y207" s="19"/>
      <c r="Z207" s="18"/>
      <c r="AA207" s="18"/>
      <c r="AB207" s="18"/>
      <c r="AC207" s="18"/>
      <c r="AD207" s="17"/>
      <c r="AE207" s="17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2:82" s="11" customFormat="1" x14ac:dyDescent="0.25">
      <c r="B208" s="22"/>
      <c r="C208" s="22"/>
      <c r="D208" s="22"/>
      <c r="E208" s="22"/>
      <c r="F208" s="22"/>
      <c r="G208" s="23"/>
      <c r="H208" s="22"/>
      <c r="I208" s="21"/>
      <c r="J208" s="21"/>
      <c r="K208" s="23"/>
      <c r="L208" s="22"/>
      <c r="M208" s="21"/>
      <c r="N208" s="22"/>
      <c r="O208" s="22"/>
      <c r="P208" s="23"/>
      <c r="Q208" s="22"/>
      <c r="R208" s="21"/>
      <c r="S208" s="20"/>
      <c r="T208" s="20"/>
      <c r="U208" s="20"/>
      <c r="V208" s="19"/>
      <c r="W208" s="19"/>
      <c r="X208" s="19"/>
      <c r="Y208" s="19"/>
      <c r="Z208" s="18"/>
      <c r="AA208" s="18"/>
      <c r="AB208" s="18"/>
      <c r="AC208" s="18"/>
      <c r="AD208" s="17"/>
      <c r="AE208" s="17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2:82" s="11" customFormat="1" x14ac:dyDescent="0.25">
      <c r="B209" s="22"/>
      <c r="C209" s="22"/>
      <c r="D209" s="22"/>
      <c r="E209" s="22"/>
      <c r="F209" s="22"/>
      <c r="G209" s="23"/>
      <c r="H209" s="22"/>
      <c r="I209" s="21"/>
      <c r="J209" s="21"/>
      <c r="K209" s="23"/>
      <c r="L209" s="22"/>
      <c r="M209" s="21"/>
      <c r="N209" s="22"/>
      <c r="O209" s="22"/>
      <c r="P209" s="23"/>
      <c r="Q209" s="22"/>
      <c r="R209" s="21"/>
      <c r="S209" s="20"/>
      <c r="T209" s="20"/>
      <c r="U209" s="20"/>
      <c r="V209" s="19"/>
      <c r="W209" s="19"/>
      <c r="X209" s="19"/>
      <c r="Y209" s="19"/>
      <c r="Z209" s="18"/>
      <c r="AA209" s="18"/>
      <c r="AB209" s="18"/>
      <c r="AC209" s="18"/>
      <c r="AD209" s="17"/>
      <c r="AE209" s="17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2:82" s="11" customFormat="1" x14ac:dyDescent="0.25">
      <c r="B210" s="22"/>
      <c r="C210" s="22"/>
      <c r="D210" s="22"/>
      <c r="E210" s="22"/>
      <c r="F210" s="22"/>
      <c r="G210" s="23"/>
      <c r="H210" s="22"/>
      <c r="I210" s="21"/>
      <c r="J210" s="21"/>
      <c r="K210" s="23"/>
      <c r="L210" s="22"/>
      <c r="M210" s="21"/>
      <c r="N210" s="22"/>
      <c r="O210" s="22"/>
      <c r="P210" s="23"/>
      <c r="Q210" s="22"/>
      <c r="R210" s="21"/>
      <c r="S210" s="20"/>
      <c r="T210" s="20"/>
      <c r="U210" s="20"/>
      <c r="V210" s="19"/>
      <c r="W210" s="19"/>
      <c r="X210" s="19"/>
      <c r="Y210" s="19"/>
      <c r="Z210" s="18"/>
      <c r="AA210" s="18"/>
      <c r="AB210" s="18"/>
      <c r="AC210" s="18"/>
      <c r="AD210" s="17"/>
      <c r="AE210" s="17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2:82" s="11" customFormat="1" x14ac:dyDescent="0.25">
      <c r="B211" s="22"/>
      <c r="C211" s="22"/>
      <c r="D211" s="22"/>
      <c r="E211" s="22"/>
      <c r="F211" s="22"/>
      <c r="G211" s="23"/>
      <c r="H211" s="22"/>
      <c r="I211" s="21"/>
      <c r="J211" s="21"/>
      <c r="K211" s="23"/>
      <c r="L211" s="22"/>
      <c r="M211" s="21"/>
      <c r="N211" s="22"/>
      <c r="O211" s="22"/>
      <c r="P211" s="23"/>
      <c r="Q211" s="22"/>
      <c r="R211" s="21"/>
      <c r="S211" s="20"/>
      <c r="T211" s="20"/>
      <c r="U211" s="20"/>
      <c r="V211" s="19"/>
      <c r="W211" s="19"/>
      <c r="X211" s="19"/>
      <c r="Y211" s="19"/>
      <c r="Z211" s="18"/>
      <c r="AA211" s="18"/>
      <c r="AB211" s="18"/>
      <c r="AC211" s="18"/>
      <c r="AD211" s="17"/>
      <c r="AE211" s="17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2:82" s="11" customFormat="1" x14ac:dyDescent="0.25">
      <c r="B212" s="22"/>
      <c r="C212" s="22"/>
      <c r="D212" s="22"/>
      <c r="E212" s="22"/>
      <c r="F212" s="22"/>
      <c r="G212" s="23"/>
      <c r="H212" s="22"/>
      <c r="I212" s="21"/>
      <c r="J212" s="21"/>
      <c r="K212" s="23"/>
      <c r="L212" s="22"/>
      <c r="M212" s="21"/>
      <c r="N212" s="22"/>
      <c r="O212" s="22"/>
      <c r="P212" s="23"/>
      <c r="Q212" s="22"/>
      <c r="R212" s="21"/>
      <c r="S212" s="20"/>
      <c r="T212" s="20"/>
      <c r="U212" s="20"/>
      <c r="V212" s="19"/>
      <c r="W212" s="19"/>
      <c r="X212" s="19"/>
      <c r="Y212" s="19"/>
      <c r="Z212" s="18"/>
      <c r="AA212" s="18"/>
      <c r="AB212" s="18"/>
      <c r="AC212" s="18"/>
      <c r="AD212" s="17"/>
      <c r="AE212" s="17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2:82" s="11" customFormat="1" x14ac:dyDescent="0.25">
      <c r="B213" s="22"/>
      <c r="C213" s="22"/>
      <c r="D213" s="22"/>
      <c r="E213" s="22"/>
      <c r="F213" s="22"/>
      <c r="G213" s="23"/>
      <c r="H213" s="22"/>
      <c r="I213" s="21"/>
      <c r="J213" s="21"/>
      <c r="K213" s="23"/>
      <c r="L213" s="22"/>
      <c r="M213" s="21"/>
      <c r="N213" s="22"/>
      <c r="O213" s="22"/>
      <c r="P213" s="23"/>
      <c r="Q213" s="22"/>
      <c r="R213" s="21"/>
      <c r="S213" s="20"/>
      <c r="T213" s="20"/>
      <c r="U213" s="20"/>
      <c r="V213" s="26"/>
      <c r="W213" s="26"/>
      <c r="X213" s="26"/>
      <c r="Y213" s="26"/>
      <c r="Z213" s="25"/>
      <c r="AA213" s="25"/>
      <c r="AB213" s="25"/>
      <c r="AC213" s="25"/>
      <c r="AD213" s="24"/>
      <c r="AE213" s="24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2:82" s="11" customFormat="1" x14ac:dyDescent="0.25">
      <c r="B214" s="22"/>
      <c r="C214" s="22"/>
      <c r="D214" s="22"/>
      <c r="E214" s="22"/>
      <c r="F214" s="22"/>
      <c r="G214" s="23"/>
      <c r="H214" s="22"/>
      <c r="I214" s="21"/>
      <c r="J214" s="21"/>
      <c r="K214" s="23"/>
      <c r="L214" s="22"/>
      <c r="M214" s="21"/>
      <c r="N214" s="22"/>
      <c r="O214" s="22"/>
      <c r="P214" s="23"/>
      <c r="Q214" s="22"/>
      <c r="R214" s="21"/>
      <c r="S214" s="20"/>
      <c r="T214" s="20"/>
      <c r="U214" s="20"/>
      <c r="V214" s="26"/>
      <c r="W214" s="26"/>
      <c r="X214" s="26"/>
      <c r="Y214" s="26"/>
      <c r="Z214" s="25"/>
      <c r="AA214" s="25"/>
      <c r="AB214" s="25"/>
      <c r="AC214" s="25"/>
      <c r="AD214" s="24"/>
      <c r="AE214" s="24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</row>
    <row r="215" spans="2:82" s="11" customFormat="1" x14ac:dyDescent="0.25">
      <c r="B215" s="22"/>
      <c r="C215" s="22"/>
      <c r="D215" s="22"/>
      <c r="E215" s="22"/>
      <c r="F215" s="22"/>
      <c r="G215" s="23"/>
      <c r="H215" s="22"/>
      <c r="I215" s="21"/>
      <c r="J215" s="21"/>
      <c r="K215" s="23"/>
      <c r="L215" s="22"/>
      <c r="M215" s="21"/>
      <c r="N215" s="22"/>
      <c r="O215" s="22"/>
      <c r="P215" s="23"/>
      <c r="Q215" s="22"/>
      <c r="R215" s="21"/>
      <c r="S215" s="20"/>
      <c r="T215" s="20"/>
      <c r="U215" s="20"/>
      <c r="V215" s="19"/>
      <c r="W215" s="19"/>
      <c r="X215" s="19"/>
      <c r="Y215" s="19"/>
      <c r="Z215" s="18"/>
      <c r="AA215" s="18"/>
      <c r="AB215" s="18"/>
      <c r="AC215" s="18"/>
      <c r="AD215" s="17"/>
      <c r="AE215" s="17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</row>
    <row r="216" spans="2:82" s="11" customFormat="1" x14ac:dyDescent="0.25">
      <c r="B216" s="22"/>
      <c r="C216" s="22"/>
      <c r="D216" s="22"/>
      <c r="E216" s="22"/>
      <c r="F216" s="22"/>
      <c r="G216" s="23"/>
      <c r="H216" s="22"/>
      <c r="I216" s="21"/>
      <c r="J216" s="21"/>
      <c r="K216" s="23"/>
      <c r="L216" s="22"/>
      <c r="M216" s="21"/>
      <c r="N216" s="22"/>
      <c r="O216" s="22"/>
      <c r="P216" s="23"/>
      <c r="Q216" s="22"/>
      <c r="R216" s="21"/>
      <c r="S216" s="20"/>
      <c r="T216" s="20"/>
      <c r="U216" s="20"/>
      <c r="V216" s="19"/>
      <c r="W216" s="19"/>
      <c r="X216" s="19"/>
      <c r="Y216" s="19"/>
      <c r="Z216" s="18"/>
      <c r="AA216" s="18"/>
      <c r="AB216" s="18"/>
      <c r="AC216" s="18"/>
      <c r="AD216" s="17"/>
      <c r="AE216" s="17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</row>
    <row r="217" spans="2:82" s="11" customFormat="1" x14ac:dyDescent="0.25">
      <c r="B217" s="22"/>
      <c r="C217" s="22"/>
      <c r="D217" s="22"/>
      <c r="E217" s="22"/>
      <c r="F217" s="22"/>
      <c r="G217" s="23"/>
      <c r="H217" s="22"/>
      <c r="I217" s="21"/>
      <c r="J217" s="21"/>
      <c r="K217" s="23"/>
      <c r="L217" s="22"/>
      <c r="M217" s="21"/>
      <c r="N217" s="22"/>
      <c r="O217" s="22"/>
      <c r="P217" s="23"/>
      <c r="Q217" s="22"/>
      <c r="R217" s="21"/>
      <c r="S217" s="20"/>
      <c r="T217" s="20"/>
      <c r="U217" s="20"/>
      <c r="V217" s="19"/>
      <c r="W217" s="19"/>
      <c r="X217" s="19"/>
      <c r="Y217" s="19"/>
      <c r="Z217" s="18"/>
      <c r="AA217" s="18"/>
      <c r="AB217" s="18"/>
      <c r="AC217" s="18"/>
      <c r="AD217" s="17"/>
      <c r="AE217" s="17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2:82" s="11" customFormat="1" x14ac:dyDescent="0.25">
      <c r="B218" s="22"/>
      <c r="C218" s="22"/>
      <c r="D218" s="22"/>
      <c r="E218" s="22"/>
      <c r="F218" s="22"/>
      <c r="G218" s="23"/>
      <c r="H218" s="22"/>
      <c r="I218" s="21"/>
      <c r="J218" s="21"/>
      <c r="K218" s="23"/>
      <c r="L218" s="22"/>
      <c r="M218" s="21"/>
      <c r="N218" s="22"/>
      <c r="O218" s="22"/>
      <c r="P218" s="23"/>
      <c r="Q218" s="22"/>
      <c r="R218" s="21"/>
      <c r="S218" s="20"/>
      <c r="T218" s="20"/>
      <c r="U218" s="20"/>
      <c r="V218" s="19"/>
      <c r="W218" s="19"/>
      <c r="X218" s="19"/>
      <c r="Y218" s="19"/>
      <c r="Z218" s="18"/>
      <c r="AA218" s="18"/>
      <c r="AB218" s="18"/>
      <c r="AC218" s="18"/>
      <c r="AD218" s="17"/>
      <c r="AE218" s="17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2:82" s="11" customFormat="1" x14ac:dyDescent="0.25">
      <c r="B219" s="22"/>
      <c r="C219" s="22"/>
      <c r="D219" s="22"/>
      <c r="E219" s="22"/>
      <c r="F219" s="22"/>
      <c r="G219" s="23"/>
      <c r="H219" s="22"/>
      <c r="I219" s="21"/>
      <c r="J219" s="21"/>
      <c r="K219" s="23"/>
      <c r="L219" s="22"/>
      <c r="M219" s="21"/>
      <c r="N219" s="22"/>
      <c r="O219" s="22"/>
      <c r="P219" s="23"/>
      <c r="Q219" s="22"/>
      <c r="R219" s="21"/>
      <c r="S219" s="20"/>
      <c r="T219" s="20"/>
      <c r="U219" s="20"/>
      <c r="V219" s="19"/>
      <c r="W219" s="19"/>
      <c r="X219" s="19"/>
      <c r="Y219" s="19"/>
      <c r="Z219" s="18"/>
      <c r="AA219" s="18"/>
      <c r="AB219" s="18"/>
      <c r="AC219" s="18"/>
      <c r="AD219" s="17"/>
      <c r="AE219" s="17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2:82" s="11" customFormat="1" x14ac:dyDescent="0.25">
      <c r="B220" s="22"/>
      <c r="C220" s="22"/>
      <c r="D220" s="22"/>
      <c r="E220" s="22"/>
      <c r="F220" s="22"/>
      <c r="G220" s="23"/>
      <c r="H220" s="22"/>
      <c r="I220" s="21"/>
      <c r="J220" s="21"/>
      <c r="K220" s="23"/>
      <c r="L220" s="22"/>
      <c r="M220" s="21"/>
      <c r="N220" s="22"/>
      <c r="O220" s="22"/>
      <c r="P220" s="23"/>
      <c r="Q220" s="22"/>
      <c r="R220" s="21"/>
      <c r="S220" s="20"/>
      <c r="T220" s="20"/>
      <c r="U220" s="20"/>
      <c r="V220" s="19"/>
      <c r="W220" s="19"/>
      <c r="X220" s="19"/>
      <c r="Y220" s="19"/>
      <c r="Z220" s="18"/>
      <c r="AA220" s="18"/>
      <c r="AB220" s="18"/>
      <c r="AC220" s="18"/>
      <c r="AD220" s="17"/>
      <c r="AE220" s="17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2:82" s="11" customFormat="1" x14ac:dyDescent="0.25">
      <c r="B221" s="22"/>
      <c r="C221" s="22"/>
      <c r="D221" s="22"/>
      <c r="E221" s="22"/>
      <c r="F221" s="22"/>
      <c r="G221" s="23"/>
      <c r="H221" s="22"/>
      <c r="I221" s="21"/>
      <c r="J221" s="21"/>
      <c r="K221" s="23"/>
      <c r="L221" s="22"/>
      <c r="M221" s="21"/>
      <c r="N221" s="22"/>
      <c r="O221" s="22"/>
      <c r="P221" s="23"/>
      <c r="Q221" s="22"/>
      <c r="R221" s="21"/>
      <c r="S221" s="20"/>
      <c r="T221" s="20"/>
      <c r="U221" s="20"/>
      <c r="V221" s="19"/>
      <c r="W221" s="19"/>
      <c r="X221" s="19"/>
      <c r="Y221" s="19"/>
      <c r="Z221" s="18"/>
      <c r="AA221" s="18"/>
      <c r="AB221" s="18"/>
      <c r="AC221" s="18"/>
      <c r="AD221" s="17"/>
      <c r="AE221" s="17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2:82" s="11" customFormat="1" x14ac:dyDescent="0.25">
      <c r="B222" s="22"/>
      <c r="C222" s="22"/>
      <c r="D222" s="22"/>
      <c r="E222" s="22"/>
      <c r="F222" s="22"/>
      <c r="G222" s="23"/>
      <c r="H222" s="22"/>
      <c r="I222" s="21"/>
      <c r="J222" s="21"/>
      <c r="K222" s="23"/>
      <c r="L222" s="22"/>
      <c r="M222" s="21"/>
      <c r="N222" s="22"/>
      <c r="O222" s="22"/>
      <c r="P222" s="23"/>
      <c r="Q222" s="22"/>
      <c r="R222" s="21"/>
      <c r="S222" s="20"/>
      <c r="T222" s="20"/>
      <c r="U222" s="20"/>
      <c r="V222" s="19"/>
      <c r="W222" s="19"/>
      <c r="X222" s="19"/>
      <c r="Y222" s="19"/>
      <c r="Z222" s="18"/>
      <c r="AA222" s="18"/>
      <c r="AB222" s="18"/>
      <c r="AC222" s="18"/>
      <c r="AD222" s="17"/>
      <c r="AE222" s="17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2:82" s="11" customFormat="1" x14ac:dyDescent="0.25">
      <c r="B223" s="22"/>
      <c r="C223" s="22"/>
      <c r="D223" s="22"/>
      <c r="E223" s="22"/>
      <c r="F223" s="22"/>
      <c r="G223" s="23"/>
      <c r="H223" s="22"/>
      <c r="I223" s="21"/>
      <c r="J223" s="21"/>
      <c r="K223" s="23"/>
      <c r="L223" s="22"/>
      <c r="M223" s="21"/>
      <c r="N223" s="22"/>
      <c r="O223" s="22"/>
      <c r="P223" s="23"/>
      <c r="Q223" s="22"/>
      <c r="R223" s="21"/>
      <c r="S223" s="20"/>
      <c r="T223" s="20"/>
      <c r="U223" s="20"/>
      <c r="V223" s="19"/>
      <c r="W223" s="19"/>
      <c r="X223" s="19"/>
      <c r="Y223" s="19"/>
      <c r="Z223" s="18"/>
      <c r="AA223" s="18"/>
      <c r="AB223" s="18"/>
      <c r="AC223" s="18"/>
      <c r="AD223" s="17"/>
      <c r="AE223" s="17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2:82" s="11" customFormat="1" x14ac:dyDescent="0.25">
      <c r="B224" s="22"/>
      <c r="C224" s="22"/>
      <c r="D224" s="22"/>
      <c r="E224" s="22"/>
      <c r="F224" s="22"/>
      <c r="G224" s="23"/>
      <c r="H224" s="22"/>
      <c r="I224" s="21"/>
      <c r="J224" s="21"/>
      <c r="K224" s="23"/>
      <c r="L224" s="22"/>
      <c r="M224" s="21"/>
      <c r="N224" s="22"/>
      <c r="O224" s="22"/>
      <c r="P224" s="23"/>
      <c r="Q224" s="22"/>
      <c r="R224" s="21"/>
      <c r="S224" s="20"/>
      <c r="T224" s="20"/>
      <c r="U224" s="20"/>
      <c r="V224" s="19"/>
      <c r="W224" s="19"/>
      <c r="X224" s="19"/>
      <c r="Y224" s="19"/>
      <c r="Z224" s="18"/>
      <c r="AA224" s="18"/>
      <c r="AB224" s="18"/>
      <c r="AC224" s="18"/>
      <c r="AD224" s="17"/>
      <c r="AE224" s="17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2:82" s="11" customFormat="1" x14ac:dyDescent="0.25">
      <c r="B225" s="22"/>
      <c r="C225" s="22"/>
      <c r="D225" s="22"/>
      <c r="E225" s="22"/>
      <c r="F225" s="22"/>
      <c r="G225" s="23"/>
      <c r="H225" s="22"/>
      <c r="I225" s="21"/>
      <c r="J225" s="21"/>
      <c r="K225" s="23"/>
      <c r="L225" s="22"/>
      <c r="M225" s="21"/>
      <c r="N225" s="22"/>
      <c r="O225" s="22"/>
      <c r="P225" s="23"/>
      <c r="Q225" s="22"/>
      <c r="R225" s="21"/>
      <c r="S225" s="20"/>
      <c r="T225" s="20"/>
      <c r="U225" s="20"/>
      <c r="V225" s="26"/>
      <c r="W225" s="26"/>
      <c r="X225" s="26"/>
      <c r="Y225" s="26"/>
      <c r="Z225" s="25"/>
      <c r="AA225" s="25"/>
      <c r="AB225" s="25"/>
      <c r="AC225" s="25"/>
      <c r="AD225" s="24"/>
      <c r="AE225" s="24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2:82" s="11" customFormat="1" x14ac:dyDescent="0.25">
      <c r="B226" s="22"/>
      <c r="C226" s="22"/>
      <c r="D226" s="22"/>
      <c r="E226" s="22"/>
      <c r="F226" s="22"/>
      <c r="G226" s="23"/>
      <c r="H226" s="22"/>
      <c r="I226" s="21"/>
      <c r="J226" s="21"/>
      <c r="K226" s="23"/>
      <c r="L226" s="22"/>
      <c r="M226" s="21"/>
      <c r="N226" s="22"/>
      <c r="O226" s="22"/>
      <c r="P226" s="23"/>
      <c r="Q226" s="22"/>
      <c r="R226" s="21"/>
      <c r="S226" s="20"/>
      <c r="T226" s="20"/>
      <c r="U226" s="20"/>
      <c r="V226" s="26"/>
      <c r="W226" s="26"/>
      <c r="X226" s="26"/>
      <c r="Y226" s="26"/>
      <c r="Z226" s="25"/>
      <c r="AA226" s="25"/>
      <c r="AB226" s="25"/>
      <c r="AC226" s="25"/>
      <c r="AD226" s="24"/>
      <c r="AE226" s="24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2:82" s="11" customFormat="1" x14ac:dyDescent="0.25">
      <c r="B227" s="22"/>
      <c r="C227" s="22"/>
      <c r="D227" s="22"/>
      <c r="E227" s="22"/>
      <c r="F227" s="22"/>
      <c r="G227" s="23"/>
      <c r="H227" s="22"/>
      <c r="I227" s="21"/>
      <c r="J227" s="21"/>
      <c r="K227" s="23"/>
      <c r="L227" s="22"/>
      <c r="M227" s="21"/>
      <c r="N227" s="22"/>
      <c r="O227" s="22"/>
      <c r="P227" s="23"/>
      <c r="Q227" s="22"/>
      <c r="R227" s="21"/>
      <c r="S227" s="20"/>
      <c r="T227" s="20"/>
      <c r="U227" s="20"/>
      <c r="V227" s="19"/>
      <c r="W227" s="19"/>
      <c r="X227" s="19"/>
      <c r="Y227" s="19"/>
      <c r="Z227" s="18"/>
      <c r="AA227" s="18"/>
      <c r="AB227" s="18"/>
      <c r="AC227" s="18"/>
      <c r="AD227" s="17"/>
      <c r="AE227" s="17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2:82" s="11" customFormat="1" x14ac:dyDescent="0.25">
      <c r="B228" s="22"/>
      <c r="C228" s="22"/>
      <c r="D228" s="22"/>
      <c r="E228" s="22"/>
      <c r="F228" s="22"/>
      <c r="G228" s="23"/>
      <c r="H228" s="22"/>
      <c r="I228" s="21"/>
      <c r="J228" s="21"/>
      <c r="K228" s="23"/>
      <c r="L228" s="22"/>
      <c r="M228" s="21"/>
      <c r="N228" s="22"/>
      <c r="O228" s="22"/>
      <c r="P228" s="23"/>
      <c r="Q228" s="22"/>
      <c r="R228" s="21"/>
      <c r="S228" s="20"/>
      <c r="T228" s="20"/>
      <c r="U228" s="20"/>
      <c r="V228" s="19"/>
      <c r="W228" s="19"/>
      <c r="X228" s="19"/>
      <c r="Y228" s="19"/>
      <c r="Z228" s="18"/>
      <c r="AA228" s="18"/>
      <c r="AB228" s="18"/>
      <c r="AC228" s="18"/>
      <c r="AD228" s="17"/>
      <c r="AE228" s="17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2:82" s="11" customFormat="1" x14ac:dyDescent="0.25">
      <c r="B229" s="22"/>
      <c r="C229" s="22"/>
      <c r="D229" s="22"/>
      <c r="E229" s="22"/>
      <c r="F229" s="22"/>
      <c r="G229" s="23"/>
      <c r="H229" s="22"/>
      <c r="I229" s="21"/>
      <c r="J229" s="21"/>
      <c r="K229" s="23"/>
      <c r="L229" s="22"/>
      <c r="M229" s="21"/>
      <c r="N229" s="22"/>
      <c r="O229" s="22"/>
      <c r="P229" s="23"/>
      <c r="Q229" s="22"/>
      <c r="R229" s="21"/>
      <c r="S229" s="20"/>
      <c r="T229" s="20"/>
      <c r="U229" s="20"/>
      <c r="V229" s="19"/>
      <c r="W229" s="19"/>
      <c r="X229" s="19"/>
      <c r="Y229" s="19"/>
      <c r="Z229" s="18"/>
      <c r="AA229" s="18"/>
      <c r="AB229" s="18"/>
      <c r="AC229" s="18"/>
      <c r="AD229" s="17"/>
      <c r="AE229" s="17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2:82" s="11" customFormat="1" x14ac:dyDescent="0.25">
      <c r="B230" s="22"/>
      <c r="C230" s="22"/>
      <c r="D230" s="22"/>
      <c r="E230" s="22"/>
      <c r="F230" s="22"/>
      <c r="G230" s="23"/>
      <c r="H230" s="22"/>
      <c r="I230" s="21"/>
      <c r="J230" s="21"/>
      <c r="K230" s="23"/>
      <c r="L230" s="22"/>
      <c r="M230" s="21"/>
      <c r="N230" s="22"/>
      <c r="O230" s="22"/>
      <c r="P230" s="23"/>
      <c r="Q230" s="22"/>
      <c r="R230" s="21"/>
      <c r="S230" s="20"/>
      <c r="T230" s="20"/>
      <c r="U230" s="20"/>
      <c r="V230" s="19"/>
      <c r="W230" s="19"/>
      <c r="X230" s="19"/>
      <c r="Y230" s="19"/>
      <c r="Z230" s="18"/>
      <c r="AA230" s="18"/>
      <c r="AB230" s="18"/>
      <c r="AC230" s="18"/>
      <c r="AD230" s="17"/>
      <c r="AE230" s="17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2:82" s="11" customFormat="1" x14ac:dyDescent="0.25">
      <c r="B231" s="22"/>
      <c r="C231" s="22"/>
      <c r="D231" s="22"/>
      <c r="E231" s="22"/>
      <c r="F231" s="22"/>
      <c r="G231" s="23"/>
      <c r="H231" s="22"/>
      <c r="I231" s="21"/>
      <c r="J231" s="21"/>
      <c r="K231" s="23"/>
      <c r="L231" s="22"/>
      <c r="M231" s="21"/>
      <c r="N231" s="22"/>
      <c r="O231" s="22"/>
      <c r="P231" s="23"/>
      <c r="Q231" s="22"/>
      <c r="R231" s="21"/>
      <c r="S231" s="20"/>
      <c r="T231" s="20"/>
      <c r="U231" s="20"/>
      <c r="V231" s="19"/>
      <c r="W231" s="19"/>
      <c r="X231" s="19"/>
      <c r="Y231" s="19"/>
      <c r="Z231" s="18"/>
      <c r="AA231" s="18"/>
      <c r="AB231" s="18"/>
      <c r="AC231" s="18"/>
      <c r="AD231" s="17"/>
      <c r="AE231" s="17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2:82" s="11" customFormat="1" x14ac:dyDescent="0.25">
      <c r="B232" s="22"/>
      <c r="C232" s="22"/>
      <c r="D232" s="22"/>
      <c r="E232" s="22"/>
      <c r="F232" s="22"/>
      <c r="G232" s="23"/>
      <c r="H232" s="22"/>
      <c r="I232" s="21"/>
      <c r="J232" s="21"/>
      <c r="K232" s="23"/>
      <c r="L232" s="22"/>
      <c r="M232" s="21"/>
      <c r="N232" s="22"/>
      <c r="O232" s="22"/>
      <c r="P232" s="23"/>
      <c r="Q232" s="22"/>
      <c r="R232" s="21"/>
      <c r="S232" s="20"/>
      <c r="T232" s="20"/>
      <c r="U232" s="20"/>
      <c r="V232" s="19"/>
      <c r="W232" s="19"/>
      <c r="X232" s="19"/>
      <c r="Y232" s="19"/>
      <c r="Z232" s="18"/>
      <c r="AA232" s="18"/>
      <c r="AB232" s="18"/>
      <c r="AC232" s="18"/>
      <c r="AD232" s="17"/>
      <c r="AE232" s="17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2:82" s="11" customFormat="1" x14ac:dyDescent="0.25">
      <c r="B233" s="22"/>
      <c r="C233" s="22"/>
      <c r="D233" s="22"/>
      <c r="E233" s="22"/>
      <c r="F233" s="22"/>
      <c r="G233" s="23"/>
      <c r="H233" s="22"/>
      <c r="I233" s="21"/>
      <c r="J233" s="21"/>
      <c r="K233" s="23"/>
      <c r="L233" s="22"/>
      <c r="M233" s="21"/>
      <c r="N233" s="22"/>
      <c r="O233" s="22"/>
      <c r="P233" s="23"/>
      <c r="Q233" s="22"/>
      <c r="R233" s="21"/>
      <c r="S233" s="20"/>
      <c r="T233" s="20"/>
      <c r="U233" s="20"/>
      <c r="V233" s="19"/>
      <c r="W233" s="19"/>
      <c r="X233" s="19"/>
      <c r="Y233" s="19"/>
      <c r="Z233" s="18"/>
      <c r="AA233" s="18"/>
      <c r="AB233" s="18"/>
      <c r="AC233" s="18"/>
      <c r="AD233" s="17"/>
      <c r="AE233" s="17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2:82" s="11" customFormat="1" x14ac:dyDescent="0.25">
      <c r="B234" s="22"/>
      <c r="C234" s="22"/>
      <c r="D234" s="22"/>
      <c r="E234" s="22"/>
      <c r="F234" s="22"/>
      <c r="G234" s="23"/>
      <c r="H234" s="22"/>
      <c r="I234" s="21"/>
      <c r="J234" s="21"/>
      <c r="K234" s="23"/>
      <c r="L234" s="22"/>
      <c r="M234" s="21"/>
      <c r="N234" s="22"/>
      <c r="O234" s="22"/>
      <c r="P234" s="23"/>
      <c r="Q234" s="22"/>
      <c r="R234" s="21"/>
      <c r="S234" s="20"/>
      <c r="T234" s="20"/>
      <c r="U234" s="20"/>
      <c r="V234" s="19"/>
      <c r="W234" s="19"/>
      <c r="X234" s="19"/>
      <c r="Y234" s="19"/>
      <c r="Z234" s="18"/>
      <c r="AA234" s="18"/>
      <c r="AB234" s="18"/>
      <c r="AC234" s="18"/>
      <c r="AD234" s="17"/>
      <c r="AE234" s="17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2:82" s="11" customFormat="1" x14ac:dyDescent="0.25">
      <c r="B235" s="22"/>
      <c r="C235" s="22"/>
      <c r="D235" s="22"/>
      <c r="E235" s="22"/>
      <c r="F235" s="22"/>
      <c r="G235" s="23"/>
      <c r="H235" s="22"/>
      <c r="I235" s="21"/>
      <c r="J235" s="21"/>
      <c r="K235" s="23"/>
      <c r="L235" s="22"/>
      <c r="M235" s="21"/>
      <c r="N235" s="22"/>
      <c r="O235" s="22"/>
      <c r="P235" s="23"/>
      <c r="Q235" s="22"/>
      <c r="R235" s="21"/>
      <c r="S235" s="20"/>
      <c r="T235" s="20"/>
      <c r="U235" s="20"/>
      <c r="V235" s="19"/>
      <c r="W235" s="19"/>
      <c r="X235" s="19"/>
      <c r="Y235" s="19"/>
      <c r="Z235" s="18"/>
      <c r="AA235" s="18"/>
      <c r="AB235" s="18"/>
      <c r="AC235" s="18"/>
      <c r="AD235" s="17"/>
      <c r="AE235" s="17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2:82" s="11" customFormat="1" x14ac:dyDescent="0.25">
      <c r="B236" s="22"/>
      <c r="C236" s="22"/>
      <c r="D236" s="22"/>
      <c r="E236" s="22"/>
      <c r="F236" s="22"/>
      <c r="G236" s="23"/>
      <c r="H236" s="22"/>
      <c r="I236" s="21"/>
      <c r="J236" s="21"/>
      <c r="K236" s="23"/>
      <c r="L236" s="22"/>
      <c r="M236" s="21"/>
      <c r="N236" s="22"/>
      <c r="O236" s="22"/>
      <c r="P236" s="23"/>
      <c r="Q236" s="22"/>
      <c r="R236" s="21"/>
      <c r="S236" s="20"/>
      <c r="T236" s="20"/>
      <c r="U236" s="20"/>
      <c r="V236" s="19"/>
      <c r="W236" s="19"/>
      <c r="X236" s="19"/>
      <c r="Y236" s="19"/>
      <c r="Z236" s="18"/>
      <c r="AA236" s="18"/>
      <c r="AB236" s="18"/>
      <c r="AC236" s="18"/>
      <c r="AD236" s="17"/>
      <c r="AE236" s="17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</row>
    <row r="237" spans="2:82" s="11" customFormat="1" x14ac:dyDescent="0.25">
      <c r="B237" s="1"/>
      <c r="C237" s="1"/>
      <c r="D237" s="1"/>
      <c r="E237" s="1"/>
      <c r="F237" s="1"/>
      <c r="G237" s="9"/>
      <c r="H237" s="1"/>
      <c r="I237" s="8"/>
      <c r="J237" s="8"/>
      <c r="K237" s="9"/>
      <c r="L237" s="1"/>
      <c r="M237" s="8"/>
      <c r="N237" s="1"/>
      <c r="O237" s="1"/>
      <c r="P237" s="9"/>
      <c r="Q237" s="1"/>
      <c r="R237" s="8"/>
      <c r="S237" s="10"/>
      <c r="T237" s="10"/>
      <c r="U237" s="10"/>
      <c r="V237" s="6"/>
      <c r="W237" s="6"/>
      <c r="X237" s="6"/>
      <c r="Y237" s="6"/>
      <c r="Z237" s="5"/>
      <c r="AA237" s="5"/>
      <c r="AB237" s="5"/>
      <c r="AC237" s="5"/>
      <c r="AD237" s="4"/>
      <c r="AE237" s="4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</row>
    <row r="238" spans="2:82" s="11" customFormat="1" x14ac:dyDescent="0.25">
      <c r="B238" s="1"/>
      <c r="C238" s="1"/>
      <c r="D238" s="1"/>
      <c r="E238" s="1"/>
      <c r="F238" s="1"/>
      <c r="G238" s="9"/>
      <c r="H238" s="1"/>
      <c r="I238" s="8"/>
      <c r="J238" s="8"/>
      <c r="K238" s="9"/>
      <c r="L238" s="1"/>
      <c r="M238" s="8"/>
      <c r="N238" s="1"/>
      <c r="O238" s="1"/>
      <c r="P238" s="9"/>
      <c r="Q238" s="1"/>
      <c r="R238" s="8"/>
      <c r="S238" s="10"/>
      <c r="T238" s="10"/>
      <c r="U238" s="10"/>
      <c r="V238" s="6"/>
      <c r="W238" s="6"/>
      <c r="X238" s="6"/>
      <c r="Y238" s="6"/>
      <c r="Z238" s="5"/>
      <c r="AA238" s="5"/>
      <c r="AB238" s="5"/>
      <c r="AC238" s="5"/>
      <c r="AD238" s="4"/>
      <c r="AE238" s="4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</row>
    <row r="239" spans="2:82" s="11" customFormat="1" x14ac:dyDescent="0.25">
      <c r="B239" s="1"/>
      <c r="C239" s="1"/>
      <c r="D239" s="1"/>
      <c r="E239" s="1"/>
      <c r="F239" s="1"/>
      <c r="G239" s="9"/>
      <c r="H239" s="1"/>
      <c r="I239" s="8"/>
      <c r="J239" s="8"/>
      <c r="K239" s="9"/>
      <c r="L239" s="1"/>
      <c r="M239" s="8"/>
      <c r="N239" s="1"/>
      <c r="O239" s="1"/>
      <c r="P239" s="9"/>
      <c r="Q239" s="1"/>
      <c r="R239" s="8"/>
      <c r="S239" s="10"/>
      <c r="T239" s="10"/>
      <c r="U239" s="10"/>
      <c r="V239" s="15"/>
      <c r="W239" s="15"/>
      <c r="X239" s="15"/>
      <c r="Y239" s="15"/>
      <c r="Z239" s="14"/>
      <c r="AA239" s="14"/>
      <c r="AB239" s="14"/>
      <c r="AC239" s="14"/>
      <c r="AD239" s="13"/>
      <c r="AE239" s="13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</row>
    <row r="240" spans="2:82" s="11" customFormat="1" x14ac:dyDescent="0.25">
      <c r="B240" s="1"/>
      <c r="C240" s="1"/>
      <c r="D240" s="1"/>
      <c r="E240" s="1"/>
      <c r="F240" s="1"/>
      <c r="G240" s="9"/>
      <c r="H240" s="1"/>
      <c r="I240" s="8"/>
      <c r="J240" s="8"/>
      <c r="K240" s="9"/>
      <c r="L240" s="1"/>
      <c r="M240" s="8"/>
      <c r="N240" s="1"/>
      <c r="O240" s="1"/>
      <c r="P240" s="9"/>
      <c r="Q240" s="1"/>
      <c r="R240" s="8"/>
      <c r="S240" s="10"/>
      <c r="T240" s="10"/>
      <c r="U240" s="10"/>
      <c r="V240" s="15"/>
      <c r="W240" s="15"/>
      <c r="X240" s="15"/>
      <c r="Y240" s="15"/>
      <c r="Z240" s="14"/>
      <c r="AA240" s="14"/>
      <c r="AB240" s="14"/>
      <c r="AC240" s="14"/>
      <c r="AD240" s="13"/>
      <c r="AE240" s="13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</row>
    <row r="241" spans="2:82" s="11" customFormat="1" x14ac:dyDescent="0.25">
      <c r="B241" s="1"/>
      <c r="C241" s="1"/>
      <c r="D241" s="1"/>
      <c r="E241" s="1"/>
      <c r="F241" s="1"/>
      <c r="G241" s="9"/>
      <c r="H241" s="1"/>
      <c r="I241" s="8"/>
      <c r="J241" s="8"/>
      <c r="K241" s="9"/>
      <c r="L241" s="1"/>
      <c r="M241" s="8"/>
      <c r="N241" s="1"/>
      <c r="O241" s="1"/>
      <c r="P241" s="9"/>
      <c r="Q241" s="1"/>
      <c r="R241" s="8"/>
      <c r="S241" s="10"/>
      <c r="T241" s="10"/>
      <c r="U241" s="10"/>
      <c r="V241" s="15"/>
      <c r="W241" s="15"/>
      <c r="X241" s="15"/>
      <c r="Y241" s="15"/>
      <c r="Z241" s="14"/>
      <c r="AA241" s="14"/>
      <c r="AB241" s="14"/>
      <c r="AC241" s="14"/>
      <c r="AD241" s="13"/>
      <c r="AE241" s="13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</row>
    <row r="242" spans="2:82" s="11" customFormat="1" x14ac:dyDescent="0.25">
      <c r="B242" s="1"/>
      <c r="C242" s="1"/>
      <c r="D242" s="1"/>
      <c r="E242" s="1"/>
      <c r="F242" s="1"/>
      <c r="G242" s="9"/>
      <c r="H242" s="1"/>
      <c r="I242" s="8"/>
      <c r="J242" s="8"/>
      <c r="K242" s="9"/>
      <c r="L242" s="1"/>
      <c r="M242" s="8"/>
      <c r="N242" s="1"/>
      <c r="O242" s="1"/>
      <c r="P242" s="9"/>
      <c r="Q242" s="1"/>
      <c r="R242" s="8"/>
      <c r="S242" s="10"/>
      <c r="T242" s="10"/>
      <c r="U242" s="10"/>
      <c r="V242" s="15"/>
      <c r="W242" s="15"/>
      <c r="X242" s="15"/>
      <c r="Y242" s="15"/>
      <c r="Z242" s="14"/>
      <c r="AA242" s="14"/>
      <c r="AB242" s="14"/>
      <c r="AC242" s="14"/>
      <c r="AD242" s="13"/>
      <c r="AE242" s="13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</row>
    <row r="243" spans="2:82" s="11" customFormat="1" x14ac:dyDescent="0.25">
      <c r="B243" s="1"/>
      <c r="C243" s="1"/>
      <c r="D243" s="1"/>
      <c r="E243" s="1"/>
      <c r="F243" s="1"/>
      <c r="G243" s="9"/>
      <c r="H243" s="1"/>
      <c r="I243" s="8"/>
      <c r="J243" s="8"/>
      <c r="K243" s="9"/>
      <c r="L243" s="1"/>
      <c r="M243" s="8"/>
      <c r="N243" s="1"/>
      <c r="O243" s="1"/>
      <c r="P243" s="9"/>
      <c r="Q243" s="1"/>
      <c r="R243" s="8"/>
      <c r="S243" s="10"/>
      <c r="T243" s="10"/>
      <c r="U243" s="10"/>
      <c r="V243" s="15"/>
      <c r="W243" s="15"/>
      <c r="X243" s="15"/>
      <c r="Y243" s="15"/>
      <c r="Z243" s="14"/>
      <c r="AA243" s="14"/>
      <c r="AB243" s="14"/>
      <c r="AC243" s="14"/>
      <c r="AD243" s="13"/>
      <c r="AE243" s="13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2:82" s="11" customFormat="1" x14ac:dyDescent="0.25">
      <c r="B244" s="1"/>
      <c r="C244" s="1"/>
      <c r="D244" s="1"/>
      <c r="E244" s="1"/>
      <c r="F244" s="1"/>
      <c r="G244" s="9"/>
      <c r="H244" s="1"/>
      <c r="I244" s="8"/>
      <c r="J244" s="8"/>
      <c r="K244" s="9"/>
      <c r="L244" s="1"/>
      <c r="M244" s="8"/>
      <c r="N244" s="1"/>
      <c r="O244" s="1"/>
      <c r="P244" s="9"/>
      <c r="Q244" s="1"/>
      <c r="R244" s="8"/>
      <c r="S244" s="10"/>
      <c r="T244" s="10"/>
      <c r="U244" s="10"/>
      <c r="V244" s="15"/>
      <c r="W244" s="15"/>
      <c r="X244" s="15"/>
      <c r="Y244" s="15"/>
      <c r="Z244" s="14"/>
      <c r="AA244" s="14"/>
      <c r="AB244" s="14"/>
      <c r="AC244" s="14"/>
      <c r="AD244" s="13"/>
      <c r="AE244" s="13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2:82" s="11" customFormat="1" x14ac:dyDescent="0.25">
      <c r="B245" s="1"/>
      <c r="C245" s="1"/>
      <c r="D245" s="1"/>
      <c r="E245" s="1"/>
      <c r="F245" s="1"/>
      <c r="G245" s="9"/>
      <c r="H245" s="1"/>
      <c r="I245" s="8"/>
      <c r="J245" s="8"/>
      <c r="K245" s="9"/>
      <c r="L245" s="1"/>
      <c r="M245" s="8"/>
      <c r="N245" s="1"/>
      <c r="O245" s="1"/>
      <c r="P245" s="9"/>
      <c r="Q245" s="1"/>
      <c r="R245" s="8"/>
      <c r="S245" s="10"/>
      <c r="T245" s="10"/>
      <c r="U245" s="10"/>
      <c r="V245" s="15"/>
      <c r="W245" s="15"/>
      <c r="X245" s="15"/>
      <c r="Y245" s="15"/>
      <c r="Z245" s="14"/>
      <c r="AA245" s="14"/>
      <c r="AB245" s="14"/>
      <c r="AC245" s="14"/>
      <c r="AD245" s="13"/>
      <c r="AE245" s="13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2:82" s="11" customFormat="1" x14ac:dyDescent="0.25">
      <c r="B246" s="1"/>
      <c r="C246" s="1"/>
      <c r="D246" s="1"/>
      <c r="E246" s="1"/>
      <c r="F246" s="1"/>
      <c r="G246" s="9"/>
      <c r="H246" s="1"/>
      <c r="I246" s="8"/>
      <c r="J246" s="8"/>
      <c r="K246" s="9"/>
      <c r="L246" s="1"/>
      <c r="M246" s="8"/>
      <c r="N246" s="1"/>
      <c r="O246" s="1"/>
      <c r="P246" s="9"/>
      <c r="Q246" s="1"/>
      <c r="R246" s="8"/>
      <c r="S246" s="10"/>
      <c r="T246" s="10"/>
      <c r="U246" s="10"/>
      <c r="V246" s="15"/>
      <c r="W246" s="15"/>
      <c r="X246" s="15"/>
      <c r="Y246" s="15"/>
      <c r="Z246" s="14"/>
      <c r="AA246" s="14"/>
      <c r="AB246" s="14"/>
      <c r="AC246" s="14"/>
      <c r="AD246" s="13"/>
      <c r="AE246" s="13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2:82" s="11" customFormat="1" x14ac:dyDescent="0.25">
      <c r="B247" s="1"/>
      <c r="C247" s="1"/>
      <c r="D247" s="1"/>
      <c r="E247" s="1"/>
      <c r="F247" s="1"/>
      <c r="G247" s="9"/>
      <c r="H247" s="1"/>
      <c r="I247" s="8"/>
      <c r="J247" s="8"/>
      <c r="K247" s="9"/>
      <c r="L247" s="1"/>
      <c r="M247" s="8"/>
      <c r="N247" s="1"/>
      <c r="O247" s="1"/>
      <c r="P247" s="9"/>
      <c r="Q247" s="1"/>
      <c r="R247" s="8"/>
      <c r="S247" s="10"/>
      <c r="T247" s="10"/>
      <c r="U247" s="10"/>
      <c r="V247" s="15"/>
      <c r="W247" s="15"/>
      <c r="X247" s="15"/>
      <c r="Y247" s="15"/>
      <c r="Z247" s="14"/>
      <c r="AA247" s="14"/>
      <c r="AB247" s="14"/>
      <c r="AC247" s="14"/>
      <c r="AD247" s="13"/>
      <c r="AE247" s="13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2:82" s="11" customFormat="1" x14ac:dyDescent="0.25">
      <c r="B248" s="1"/>
      <c r="C248" s="1"/>
      <c r="D248" s="1"/>
      <c r="E248" s="1"/>
      <c r="F248" s="1"/>
      <c r="G248" s="9"/>
      <c r="H248" s="1"/>
      <c r="I248" s="8"/>
      <c r="J248" s="8"/>
      <c r="K248" s="9"/>
      <c r="L248" s="1"/>
      <c r="M248" s="8"/>
      <c r="N248" s="1"/>
      <c r="O248" s="1"/>
      <c r="P248" s="9"/>
      <c r="Q248" s="1"/>
      <c r="R248" s="8"/>
      <c r="S248" s="10"/>
      <c r="T248" s="10"/>
      <c r="U248" s="10"/>
      <c r="V248" s="15"/>
      <c r="W248" s="15"/>
      <c r="X248" s="15"/>
      <c r="Y248" s="15"/>
      <c r="Z248" s="14"/>
      <c r="AA248" s="14"/>
      <c r="AB248" s="14"/>
      <c r="AC248" s="14"/>
      <c r="AD248" s="13"/>
      <c r="AE248" s="13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2:82" s="11" customFormat="1" x14ac:dyDescent="0.25">
      <c r="B249" s="1"/>
      <c r="C249" s="1"/>
      <c r="D249" s="1"/>
      <c r="E249" s="1"/>
      <c r="F249" s="1"/>
      <c r="G249" s="9"/>
      <c r="H249" s="1"/>
      <c r="I249" s="8"/>
      <c r="J249" s="8"/>
      <c r="K249" s="9"/>
      <c r="L249" s="1"/>
      <c r="M249" s="8"/>
      <c r="N249" s="1"/>
      <c r="O249" s="1"/>
      <c r="P249" s="9"/>
      <c r="Q249" s="1"/>
      <c r="R249" s="8"/>
      <c r="S249" s="10"/>
      <c r="T249" s="10"/>
      <c r="U249" s="10"/>
      <c r="V249" s="6"/>
      <c r="W249" s="6"/>
      <c r="X249" s="6"/>
      <c r="Y249" s="6"/>
      <c r="Z249" s="5"/>
      <c r="AA249" s="5"/>
      <c r="AB249" s="5"/>
      <c r="AC249" s="5"/>
      <c r="AD249" s="4"/>
      <c r="AE249" s="4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2:82" s="11" customFormat="1" x14ac:dyDescent="0.25">
      <c r="B250" s="1"/>
      <c r="C250" s="1"/>
      <c r="D250" s="1"/>
      <c r="E250" s="1"/>
      <c r="F250" s="1"/>
      <c r="G250" s="9"/>
      <c r="H250" s="1"/>
      <c r="I250" s="8"/>
      <c r="J250" s="8"/>
      <c r="K250" s="9"/>
      <c r="L250" s="1"/>
      <c r="M250" s="8"/>
      <c r="N250" s="1"/>
      <c r="O250" s="1"/>
      <c r="P250" s="9"/>
      <c r="Q250" s="1"/>
      <c r="R250" s="8"/>
      <c r="S250" s="10"/>
      <c r="T250" s="10"/>
      <c r="U250" s="10"/>
      <c r="V250" s="6"/>
      <c r="W250" s="6"/>
      <c r="X250" s="6"/>
      <c r="Y250" s="6"/>
      <c r="Z250" s="5"/>
      <c r="AA250" s="5"/>
      <c r="AB250" s="5"/>
      <c r="AC250" s="5"/>
      <c r="AD250" s="4"/>
      <c r="AE250" s="4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2:82" s="11" customFormat="1" x14ac:dyDescent="0.25">
      <c r="B251" s="1"/>
      <c r="C251" s="1"/>
      <c r="D251" s="1"/>
      <c r="E251" s="1"/>
      <c r="F251" s="1"/>
      <c r="G251" s="9"/>
      <c r="H251" s="1"/>
      <c r="I251" s="8"/>
      <c r="J251" s="8"/>
      <c r="K251" s="9"/>
      <c r="L251" s="1"/>
      <c r="M251" s="8"/>
      <c r="N251" s="1"/>
      <c r="O251" s="1"/>
      <c r="P251" s="9"/>
      <c r="Q251" s="1"/>
      <c r="R251" s="8"/>
      <c r="S251" s="10"/>
      <c r="T251" s="10"/>
      <c r="U251" s="10"/>
      <c r="V251" s="15"/>
      <c r="W251" s="15"/>
      <c r="X251" s="15"/>
      <c r="Y251" s="15"/>
      <c r="Z251" s="14"/>
      <c r="AA251" s="14"/>
      <c r="AB251" s="14"/>
      <c r="AC251" s="14"/>
      <c r="AD251" s="13"/>
      <c r="AE251" s="13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2:82" s="11" customFormat="1" x14ac:dyDescent="0.25">
      <c r="B252" s="1"/>
      <c r="C252" s="1"/>
      <c r="D252" s="1"/>
      <c r="E252" s="1"/>
      <c r="F252" s="1"/>
      <c r="G252" s="9"/>
      <c r="H252" s="1"/>
      <c r="I252" s="8"/>
      <c r="J252" s="8"/>
      <c r="K252" s="9"/>
      <c r="L252" s="1"/>
      <c r="M252" s="8"/>
      <c r="N252" s="1"/>
      <c r="O252" s="1"/>
      <c r="P252" s="9"/>
      <c r="Q252" s="1"/>
      <c r="R252" s="8"/>
      <c r="S252" s="10"/>
      <c r="T252" s="10"/>
      <c r="U252" s="10"/>
      <c r="V252" s="15"/>
      <c r="W252" s="15"/>
      <c r="X252" s="15"/>
      <c r="Y252" s="15"/>
      <c r="Z252" s="14"/>
      <c r="AA252" s="14"/>
      <c r="AB252" s="14"/>
      <c r="AC252" s="14"/>
      <c r="AD252" s="13"/>
      <c r="AE252" s="13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2:82" s="11" customFormat="1" x14ac:dyDescent="0.25">
      <c r="B253" s="1"/>
      <c r="C253" s="1"/>
      <c r="D253" s="1"/>
      <c r="E253" s="1"/>
      <c r="F253" s="1"/>
      <c r="G253" s="9"/>
      <c r="H253" s="1"/>
      <c r="I253" s="8"/>
      <c r="J253" s="8"/>
      <c r="K253" s="9"/>
      <c r="L253" s="1"/>
      <c r="M253" s="8"/>
      <c r="N253" s="1"/>
      <c r="O253" s="1"/>
      <c r="P253" s="9"/>
      <c r="Q253" s="1"/>
      <c r="R253" s="8"/>
      <c r="S253" s="10"/>
      <c r="T253" s="10"/>
      <c r="U253" s="10"/>
      <c r="V253" s="15"/>
      <c r="W253" s="15"/>
      <c r="X253" s="15"/>
      <c r="Y253" s="15"/>
      <c r="Z253" s="14"/>
      <c r="AA253" s="14"/>
      <c r="AB253" s="14"/>
      <c r="AC253" s="14"/>
      <c r="AD253" s="13"/>
      <c r="AE253" s="13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2:82" s="11" customFormat="1" x14ac:dyDescent="0.25">
      <c r="B254" s="1"/>
      <c r="C254" s="1"/>
      <c r="D254" s="1"/>
      <c r="E254" s="1"/>
      <c r="F254" s="1"/>
      <c r="G254" s="9"/>
      <c r="H254" s="1"/>
      <c r="I254" s="8"/>
      <c r="J254" s="8"/>
      <c r="K254" s="9"/>
      <c r="L254" s="1"/>
      <c r="M254" s="8"/>
      <c r="N254" s="1"/>
      <c r="O254" s="1"/>
      <c r="P254" s="9"/>
      <c r="Q254" s="1"/>
      <c r="R254" s="8"/>
      <c r="S254" s="10"/>
      <c r="T254" s="10"/>
      <c r="U254" s="10"/>
      <c r="V254" s="15"/>
      <c r="W254" s="15"/>
      <c r="X254" s="15"/>
      <c r="Y254" s="15"/>
      <c r="Z254" s="14"/>
      <c r="AA254" s="14"/>
      <c r="AB254" s="14"/>
      <c r="AC254" s="14"/>
      <c r="AD254" s="13"/>
      <c r="AE254" s="13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2:82" s="11" customFormat="1" x14ac:dyDescent="0.25">
      <c r="B255" s="1"/>
      <c r="C255" s="1"/>
      <c r="D255" s="1"/>
      <c r="E255" s="1"/>
      <c r="F255" s="1"/>
      <c r="G255" s="9"/>
      <c r="H255" s="1"/>
      <c r="I255" s="8"/>
      <c r="J255" s="8"/>
      <c r="K255" s="9"/>
      <c r="L255" s="1"/>
      <c r="M255" s="8"/>
      <c r="N255" s="1"/>
      <c r="O255" s="1"/>
      <c r="P255" s="9"/>
      <c r="Q255" s="1"/>
      <c r="R255" s="8"/>
      <c r="S255" s="10"/>
      <c r="T255" s="10"/>
      <c r="U255" s="10"/>
      <c r="V255" s="15"/>
      <c r="W255" s="15"/>
      <c r="X255" s="15"/>
      <c r="Y255" s="15"/>
      <c r="Z255" s="14"/>
      <c r="AA255" s="14"/>
      <c r="AB255" s="14"/>
      <c r="AC255" s="14"/>
      <c r="AD255" s="13"/>
      <c r="AE255" s="13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2:82" s="11" customFormat="1" x14ac:dyDescent="0.25">
      <c r="B256" s="1"/>
      <c r="C256" s="1"/>
      <c r="D256" s="1"/>
      <c r="E256" s="1"/>
      <c r="F256" s="1"/>
      <c r="G256" s="9"/>
      <c r="H256" s="1"/>
      <c r="I256" s="8"/>
      <c r="J256" s="8"/>
      <c r="K256" s="9"/>
      <c r="L256" s="1"/>
      <c r="M256" s="8"/>
      <c r="N256" s="1"/>
      <c r="O256" s="1"/>
      <c r="P256" s="9"/>
      <c r="Q256" s="1"/>
      <c r="R256" s="8"/>
      <c r="S256" s="10"/>
      <c r="T256" s="10"/>
      <c r="U256" s="10"/>
      <c r="V256" s="15"/>
      <c r="W256" s="15"/>
      <c r="X256" s="15"/>
      <c r="Y256" s="15"/>
      <c r="Z256" s="14"/>
      <c r="AA256" s="14"/>
      <c r="AB256" s="14"/>
      <c r="AC256" s="14"/>
      <c r="AD256" s="13"/>
      <c r="AE256" s="13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2:82" s="11" customFormat="1" x14ac:dyDescent="0.25">
      <c r="B257" s="1"/>
      <c r="C257" s="1"/>
      <c r="D257" s="1"/>
      <c r="E257" s="1"/>
      <c r="F257" s="1"/>
      <c r="G257" s="9"/>
      <c r="H257" s="1"/>
      <c r="I257" s="8"/>
      <c r="J257" s="8"/>
      <c r="K257" s="9"/>
      <c r="L257" s="1"/>
      <c r="M257" s="8"/>
      <c r="N257" s="1"/>
      <c r="O257" s="1"/>
      <c r="P257" s="9"/>
      <c r="Q257" s="1"/>
      <c r="R257" s="8"/>
      <c r="S257" s="10"/>
      <c r="T257" s="10"/>
      <c r="U257" s="10"/>
      <c r="V257" s="15"/>
      <c r="W257" s="15"/>
      <c r="X257" s="15"/>
      <c r="Y257" s="15"/>
      <c r="Z257" s="14"/>
      <c r="AA257" s="14"/>
      <c r="AB257" s="14"/>
      <c r="AC257" s="14"/>
      <c r="AD257" s="13"/>
      <c r="AE257" s="13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</row>
    <row r="258" spans="2:82" s="11" customFormat="1" x14ac:dyDescent="0.25">
      <c r="B258" s="1"/>
      <c r="C258" s="1"/>
      <c r="D258" s="1"/>
      <c r="E258" s="1"/>
      <c r="F258" s="1"/>
      <c r="G258" s="9"/>
      <c r="H258" s="1"/>
      <c r="I258" s="8"/>
      <c r="J258" s="8"/>
      <c r="K258" s="9"/>
      <c r="L258" s="1"/>
      <c r="M258" s="8"/>
      <c r="N258" s="1"/>
      <c r="O258" s="1"/>
      <c r="P258" s="9"/>
      <c r="Q258" s="1"/>
      <c r="R258" s="8"/>
      <c r="S258" s="10"/>
      <c r="T258" s="10"/>
      <c r="U258" s="10"/>
      <c r="V258" s="15"/>
      <c r="W258" s="15"/>
      <c r="X258" s="15"/>
      <c r="Y258" s="15"/>
      <c r="Z258" s="14"/>
      <c r="AA258" s="14"/>
      <c r="AB258" s="14"/>
      <c r="AC258" s="14"/>
      <c r="AD258" s="13"/>
      <c r="AE258" s="13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</row>
    <row r="259" spans="2:82" s="11" customFormat="1" x14ac:dyDescent="0.25">
      <c r="B259" s="1"/>
      <c r="C259" s="1"/>
      <c r="D259" s="1"/>
      <c r="E259" s="1"/>
      <c r="F259" s="1"/>
      <c r="G259" s="9"/>
      <c r="H259" s="1"/>
      <c r="I259" s="8"/>
      <c r="J259" s="8"/>
      <c r="K259" s="9"/>
      <c r="L259" s="1"/>
      <c r="M259" s="8"/>
      <c r="N259" s="1"/>
      <c r="O259" s="1"/>
      <c r="P259" s="9"/>
      <c r="Q259" s="1"/>
      <c r="R259" s="8"/>
      <c r="S259" s="10"/>
      <c r="T259" s="10"/>
      <c r="U259" s="10"/>
      <c r="V259" s="15"/>
      <c r="W259" s="15"/>
      <c r="X259" s="15"/>
      <c r="Y259" s="15"/>
      <c r="Z259" s="14"/>
      <c r="AA259" s="14"/>
      <c r="AB259" s="14"/>
      <c r="AC259" s="14"/>
      <c r="AD259" s="13"/>
      <c r="AE259" s="13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2:82" s="11" customFormat="1" x14ac:dyDescent="0.25">
      <c r="B260" s="1"/>
      <c r="C260" s="1"/>
      <c r="D260" s="1"/>
      <c r="E260" s="1"/>
      <c r="F260" s="1"/>
      <c r="G260" s="9"/>
      <c r="H260" s="1"/>
      <c r="I260" s="8"/>
      <c r="J260" s="8"/>
      <c r="K260" s="9"/>
      <c r="L260" s="1"/>
      <c r="M260" s="8"/>
      <c r="N260" s="1"/>
      <c r="O260" s="1"/>
      <c r="P260" s="9"/>
      <c r="Q260" s="1"/>
      <c r="R260" s="8"/>
      <c r="S260" s="10"/>
      <c r="T260" s="10"/>
      <c r="U260" s="10"/>
      <c r="V260" s="15"/>
      <c r="W260" s="15"/>
      <c r="X260" s="15"/>
      <c r="Y260" s="15"/>
      <c r="Z260" s="14"/>
      <c r="AA260" s="14"/>
      <c r="AB260" s="14"/>
      <c r="AC260" s="14"/>
      <c r="AD260" s="13"/>
      <c r="AE260" s="13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2:82" s="11" customFormat="1" x14ac:dyDescent="0.25">
      <c r="B261" s="1"/>
      <c r="C261" s="1"/>
      <c r="D261" s="1"/>
      <c r="E261" s="1"/>
      <c r="F261" s="1"/>
      <c r="G261" s="9"/>
      <c r="H261" s="1"/>
      <c r="I261" s="8"/>
      <c r="J261" s="8"/>
      <c r="K261" s="9"/>
      <c r="L261" s="1"/>
      <c r="M261" s="8"/>
      <c r="N261" s="1"/>
      <c r="O261" s="1"/>
      <c r="P261" s="9"/>
      <c r="Q261" s="1"/>
      <c r="R261" s="8"/>
      <c r="S261" s="10"/>
      <c r="T261" s="10"/>
      <c r="U261" s="10"/>
      <c r="V261" s="6"/>
      <c r="W261" s="6"/>
      <c r="X261" s="6"/>
      <c r="Y261" s="6"/>
      <c r="Z261" s="5"/>
      <c r="AA261" s="5"/>
      <c r="AB261" s="5"/>
      <c r="AC261" s="5"/>
      <c r="AD261" s="4"/>
      <c r="AE261" s="4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2:82" s="11" customFormat="1" x14ac:dyDescent="0.25">
      <c r="B262" s="1"/>
      <c r="C262" s="1"/>
      <c r="D262" s="1"/>
      <c r="E262" s="1"/>
      <c r="F262" s="1"/>
      <c r="G262" s="9"/>
      <c r="H262" s="1"/>
      <c r="I262" s="8"/>
      <c r="J262" s="8"/>
      <c r="K262" s="9"/>
      <c r="L262" s="1"/>
      <c r="M262" s="8"/>
      <c r="N262" s="1"/>
      <c r="O262" s="1"/>
      <c r="P262" s="9"/>
      <c r="Q262" s="1"/>
      <c r="R262" s="8"/>
      <c r="S262" s="10"/>
      <c r="T262" s="10"/>
      <c r="U262" s="10"/>
      <c r="V262" s="6"/>
      <c r="W262" s="6"/>
      <c r="X262" s="6"/>
      <c r="Y262" s="6"/>
      <c r="Z262" s="5"/>
      <c r="AA262" s="5"/>
      <c r="AB262" s="5"/>
      <c r="AC262" s="5"/>
      <c r="AD262" s="4"/>
      <c r="AE262" s="4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2:82" s="11" customFormat="1" x14ac:dyDescent="0.25">
      <c r="B263" s="1"/>
      <c r="C263" s="1"/>
      <c r="D263" s="1"/>
      <c r="E263" s="1"/>
      <c r="F263" s="1"/>
      <c r="G263" s="9"/>
      <c r="H263" s="1"/>
      <c r="I263" s="8"/>
      <c r="J263" s="8"/>
      <c r="K263" s="9"/>
      <c r="L263" s="1"/>
      <c r="M263" s="8"/>
      <c r="N263" s="1"/>
      <c r="O263" s="1"/>
      <c r="P263" s="9"/>
      <c r="Q263" s="1"/>
      <c r="R263" s="8"/>
      <c r="S263" s="10"/>
      <c r="T263" s="10"/>
      <c r="U263" s="10"/>
      <c r="V263" s="15"/>
      <c r="W263" s="15"/>
      <c r="X263" s="15"/>
      <c r="Y263" s="15"/>
      <c r="Z263" s="14"/>
      <c r="AA263" s="14"/>
      <c r="AB263" s="14"/>
      <c r="AC263" s="14"/>
      <c r="AD263" s="13"/>
      <c r="AE263" s="13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2:82" s="11" customFormat="1" x14ac:dyDescent="0.25">
      <c r="B264" s="1"/>
      <c r="C264" s="1"/>
      <c r="D264" s="1"/>
      <c r="E264" s="1"/>
      <c r="F264" s="1"/>
      <c r="G264" s="9"/>
      <c r="H264" s="1"/>
      <c r="I264" s="8"/>
      <c r="J264" s="8"/>
      <c r="K264" s="9"/>
      <c r="L264" s="1"/>
      <c r="M264" s="8"/>
      <c r="N264" s="1"/>
      <c r="O264" s="1"/>
      <c r="P264" s="9"/>
      <c r="Q264" s="1"/>
      <c r="R264" s="8"/>
      <c r="S264" s="10"/>
      <c r="T264" s="10"/>
      <c r="U264" s="10"/>
      <c r="V264" s="15"/>
      <c r="W264" s="15"/>
      <c r="X264" s="15"/>
      <c r="Y264" s="15"/>
      <c r="Z264" s="14"/>
      <c r="AA264" s="14"/>
      <c r="AB264" s="14"/>
      <c r="AC264" s="14"/>
      <c r="AD264" s="13"/>
      <c r="AE264" s="13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2:82" s="11" customFormat="1" x14ac:dyDescent="0.25">
      <c r="B265" s="1"/>
      <c r="C265" s="1"/>
      <c r="D265" s="1"/>
      <c r="E265" s="1"/>
      <c r="F265" s="1"/>
      <c r="G265" s="9"/>
      <c r="H265" s="1"/>
      <c r="I265" s="8"/>
      <c r="J265" s="8"/>
      <c r="K265" s="9"/>
      <c r="L265" s="1"/>
      <c r="M265" s="8"/>
      <c r="N265" s="1"/>
      <c r="O265" s="1"/>
      <c r="P265" s="9"/>
      <c r="Q265" s="1"/>
      <c r="R265" s="8"/>
      <c r="S265" s="10"/>
      <c r="T265" s="10"/>
      <c r="U265" s="10"/>
      <c r="V265" s="15"/>
      <c r="W265" s="15"/>
      <c r="X265" s="15"/>
      <c r="Y265" s="15"/>
      <c r="Z265" s="14"/>
      <c r="AA265" s="14"/>
      <c r="AB265" s="14"/>
      <c r="AC265" s="14"/>
      <c r="AD265" s="13"/>
      <c r="AE265" s="13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</row>
    <row r="266" spans="2:82" s="11" customFormat="1" x14ac:dyDescent="0.25">
      <c r="B266" s="1"/>
      <c r="C266" s="1"/>
      <c r="D266" s="1"/>
      <c r="E266" s="1"/>
      <c r="F266" s="1"/>
      <c r="G266" s="9"/>
      <c r="H266" s="1"/>
      <c r="I266" s="8"/>
      <c r="J266" s="8"/>
      <c r="K266" s="9"/>
      <c r="L266" s="1"/>
      <c r="M266" s="8"/>
      <c r="N266" s="1"/>
      <c r="O266" s="1"/>
      <c r="P266" s="9"/>
      <c r="Q266" s="1"/>
      <c r="R266" s="8"/>
      <c r="S266" s="10"/>
      <c r="T266" s="10"/>
      <c r="U266" s="10"/>
      <c r="V266" s="15"/>
      <c r="W266" s="15"/>
      <c r="X266" s="15"/>
      <c r="Y266" s="15"/>
      <c r="Z266" s="14"/>
      <c r="AA266" s="14"/>
      <c r="AB266" s="14"/>
      <c r="AC266" s="14"/>
      <c r="AD266" s="13"/>
      <c r="AE266" s="13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</row>
    <row r="267" spans="2:82" s="11" customFormat="1" x14ac:dyDescent="0.25">
      <c r="B267" s="1"/>
      <c r="C267" s="1"/>
      <c r="D267" s="1"/>
      <c r="E267" s="1"/>
      <c r="F267" s="1"/>
      <c r="G267" s="9"/>
      <c r="H267" s="1"/>
      <c r="I267" s="8"/>
      <c r="J267" s="8"/>
      <c r="K267" s="9"/>
      <c r="L267" s="1"/>
      <c r="M267" s="8"/>
      <c r="N267" s="1"/>
      <c r="O267" s="1"/>
      <c r="P267" s="9"/>
      <c r="Q267" s="1"/>
      <c r="R267" s="8"/>
      <c r="S267" s="10"/>
      <c r="T267" s="10"/>
      <c r="U267" s="10"/>
      <c r="V267" s="15"/>
      <c r="W267" s="15"/>
      <c r="X267" s="15"/>
      <c r="Y267" s="15"/>
      <c r="Z267" s="14"/>
      <c r="AA267" s="14"/>
      <c r="AB267" s="14"/>
      <c r="AC267" s="14"/>
      <c r="AD267" s="13"/>
      <c r="AE267" s="13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</row>
    <row r="268" spans="2:82" s="11" customFormat="1" x14ac:dyDescent="0.25">
      <c r="B268" s="1"/>
      <c r="C268" s="1"/>
      <c r="D268" s="1"/>
      <c r="E268" s="1"/>
      <c r="F268" s="1"/>
      <c r="G268" s="9"/>
      <c r="H268" s="1"/>
      <c r="I268" s="8"/>
      <c r="J268" s="8"/>
      <c r="K268" s="9"/>
      <c r="L268" s="1"/>
      <c r="M268" s="8"/>
      <c r="N268" s="1"/>
      <c r="O268" s="1"/>
      <c r="P268" s="9"/>
      <c r="Q268" s="1"/>
      <c r="R268" s="8"/>
      <c r="S268" s="10"/>
      <c r="T268" s="10"/>
      <c r="U268" s="10"/>
      <c r="V268" s="15"/>
      <c r="W268" s="15"/>
      <c r="X268" s="15"/>
      <c r="Y268" s="15"/>
      <c r="Z268" s="14"/>
      <c r="AA268" s="14"/>
      <c r="AB268" s="14"/>
      <c r="AC268" s="14"/>
      <c r="AD268" s="13"/>
      <c r="AE268" s="13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</row>
    <row r="269" spans="2:82" s="11" customFormat="1" x14ac:dyDescent="0.25">
      <c r="B269" s="1"/>
      <c r="C269" s="1"/>
      <c r="D269" s="1"/>
      <c r="E269" s="1"/>
      <c r="F269" s="1"/>
      <c r="G269" s="9"/>
      <c r="H269" s="1"/>
      <c r="I269" s="8"/>
      <c r="J269" s="8"/>
      <c r="K269" s="9"/>
      <c r="L269" s="1"/>
      <c r="M269" s="8"/>
      <c r="N269" s="1"/>
      <c r="O269" s="1"/>
      <c r="P269" s="9"/>
      <c r="Q269" s="1"/>
      <c r="R269" s="8"/>
      <c r="S269" s="10"/>
      <c r="T269" s="10"/>
      <c r="U269" s="10"/>
      <c r="V269" s="15"/>
      <c r="W269" s="15"/>
      <c r="X269" s="15"/>
      <c r="Y269" s="15"/>
      <c r="Z269" s="14"/>
      <c r="AA269" s="14"/>
      <c r="AB269" s="14"/>
      <c r="AC269" s="14"/>
      <c r="AD269" s="13"/>
      <c r="AE269" s="13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</row>
    <row r="270" spans="2:82" s="11" customFormat="1" x14ac:dyDescent="0.25">
      <c r="B270" s="1"/>
      <c r="C270" s="1"/>
      <c r="D270" s="1"/>
      <c r="E270" s="1"/>
      <c r="F270" s="1"/>
      <c r="G270" s="9"/>
      <c r="H270" s="1"/>
      <c r="I270" s="8"/>
      <c r="J270" s="8"/>
      <c r="K270" s="9"/>
      <c r="L270" s="1"/>
      <c r="M270" s="8"/>
      <c r="N270" s="1"/>
      <c r="O270" s="1"/>
      <c r="P270" s="9"/>
      <c r="Q270" s="1"/>
      <c r="R270" s="8"/>
      <c r="S270" s="10"/>
      <c r="T270" s="10"/>
      <c r="U270" s="10"/>
      <c r="V270" s="15"/>
      <c r="W270" s="15"/>
      <c r="X270" s="15"/>
      <c r="Y270" s="15"/>
      <c r="Z270" s="14"/>
      <c r="AA270" s="14"/>
      <c r="AB270" s="14"/>
      <c r="AC270" s="14"/>
      <c r="AD270" s="13"/>
      <c r="AE270" s="13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</row>
    <row r="271" spans="2:82" s="11" customFormat="1" x14ac:dyDescent="0.25">
      <c r="B271" s="1"/>
      <c r="C271" s="1"/>
      <c r="D271" s="1"/>
      <c r="E271" s="1"/>
      <c r="F271" s="1"/>
      <c r="G271" s="9"/>
      <c r="H271" s="1"/>
      <c r="I271" s="8"/>
      <c r="J271" s="8"/>
      <c r="K271" s="9"/>
      <c r="L271" s="1"/>
      <c r="M271" s="8"/>
      <c r="N271" s="1"/>
      <c r="O271" s="1"/>
      <c r="P271" s="9"/>
      <c r="Q271" s="1"/>
      <c r="R271" s="8"/>
      <c r="S271" s="10"/>
      <c r="T271" s="10"/>
      <c r="U271" s="10"/>
      <c r="V271" s="15"/>
      <c r="W271" s="15"/>
      <c r="X271" s="15"/>
      <c r="Y271" s="15"/>
      <c r="Z271" s="14"/>
      <c r="AA271" s="14"/>
      <c r="AB271" s="14"/>
      <c r="AC271" s="14"/>
      <c r="AD271" s="13"/>
      <c r="AE271" s="13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</row>
    <row r="272" spans="2:82" s="11" customFormat="1" x14ac:dyDescent="0.25">
      <c r="B272" s="1"/>
      <c r="C272" s="1"/>
      <c r="D272" s="1"/>
      <c r="E272" s="1"/>
      <c r="F272" s="1"/>
      <c r="G272" s="9"/>
      <c r="H272" s="1"/>
      <c r="I272" s="8"/>
      <c r="J272" s="8"/>
      <c r="K272" s="9"/>
      <c r="L272" s="1"/>
      <c r="M272" s="8"/>
      <c r="N272" s="1"/>
      <c r="O272" s="1"/>
      <c r="P272" s="9"/>
      <c r="Q272" s="1"/>
      <c r="R272" s="8"/>
      <c r="S272" s="10"/>
      <c r="T272" s="10"/>
      <c r="U272" s="10"/>
      <c r="V272" s="15"/>
      <c r="W272" s="15"/>
      <c r="X272" s="15"/>
      <c r="Y272" s="15"/>
      <c r="Z272" s="14"/>
      <c r="AA272" s="14"/>
      <c r="AB272" s="14"/>
      <c r="AC272" s="14"/>
      <c r="AD272" s="13"/>
      <c r="AE272" s="13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</row>
    <row r="273" spans="2:82" s="11" customFormat="1" x14ac:dyDescent="0.25">
      <c r="B273" s="1"/>
      <c r="C273" s="1"/>
      <c r="D273" s="1"/>
      <c r="E273" s="1"/>
      <c r="F273" s="1"/>
      <c r="G273" s="9"/>
      <c r="H273" s="1"/>
      <c r="I273" s="8"/>
      <c r="J273" s="8"/>
      <c r="K273" s="9"/>
      <c r="L273" s="1"/>
      <c r="M273" s="8"/>
      <c r="N273" s="1"/>
      <c r="O273" s="1"/>
      <c r="P273" s="9"/>
      <c r="Q273" s="1"/>
      <c r="R273" s="8"/>
      <c r="S273" s="10"/>
      <c r="T273" s="10"/>
      <c r="U273" s="10"/>
      <c r="V273" s="6"/>
      <c r="W273" s="6"/>
      <c r="X273" s="6"/>
      <c r="Y273" s="6"/>
      <c r="Z273" s="5"/>
      <c r="AA273" s="5"/>
      <c r="AB273" s="5"/>
      <c r="AC273" s="5"/>
      <c r="AD273" s="4"/>
      <c r="AE273" s="4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</row>
    <row r="274" spans="2:82" s="11" customFormat="1" x14ac:dyDescent="0.25">
      <c r="B274" s="1"/>
      <c r="C274" s="1"/>
      <c r="D274" s="1"/>
      <c r="E274" s="1"/>
      <c r="F274" s="1"/>
      <c r="G274" s="9"/>
      <c r="H274" s="1"/>
      <c r="I274" s="8"/>
      <c r="J274" s="8"/>
      <c r="K274" s="9"/>
      <c r="L274" s="1"/>
      <c r="M274" s="8"/>
      <c r="N274" s="1"/>
      <c r="O274" s="1"/>
      <c r="P274" s="9"/>
      <c r="Q274" s="1"/>
      <c r="R274" s="8"/>
      <c r="S274" s="10"/>
      <c r="T274" s="10"/>
      <c r="U274" s="10"/>
      <c r="V274" s="6"/>
      <c r="W274" s="6"/>
      <c r="X274" s="6"/>
      <c r="Y274" s="6"/>
      <c r="Z274" s="5"/>
      <c r="AA274" s="5"/>
      <c r="AB274" s="5"/>
      <c r="AC274" s="5"/>
      <c r="AD274" s="4"/>
      <c r="AE274" s="4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</row>
    <row r="275" spans="2:82" s="11" customFormat="1" x14ac:dyDescent="0.25">
      <c r="B275" s="1"/>
      <c r="C275" s="1"/>
      <c r="D275" s="1"/>
      <c r="E275" s="1"/>
      <c r="F275" s="1"/>
      <c r="G275" s="9"/>
      <c r="H275" s="1"/>
      <c r="I275" s="8"/>
      <c r="J275" s="8"/>
      <c r="K275" s="9"/>
      <c r="L275" s="1"/>
      <c r="M275" s="8"/>
      <c r="N275" s="1"/>
      <c r="O275" s="1"/>
      <c r="P275" s="9"/>
      <c r="Q275" s="1"/>
      <c r="R275" s="8"/>
      <c r="S275" s="10"/>
      <c r="T275" s="10"/>
      <c r="U275" s="10"/>
      <c r="V275" s="15"/>
      <c r="W275" s="15"/>
      <c r="X275" s="15"/>
      <c r="Y275" s="15"/>
      <c r="Z275" s="14"/>
      <c r="AA275" s="14"/>
      <c r="AB275" s="14"/>
      <c r="AC275" s="14"/>
      <c r="AD275" s="13"/>
      <c r="AE275" s="13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</row>
    <row r="276" spans="2:82" s="11" customFormat="1" x14ac:dyDescent="0.25">
      <c r="B276" s="1"/>
      <c r="C276" s="1"/>
      <c r="D276" s="1"/>
      <c r="E276" s="1"/>
      <c r="F276" s="1"/>
      <c r="G276" s="9"/>
      <c r="H276" s="1"/>
      <c r="I276" s="8"/>
      <c r="J276" s="8"/>
      <c r="K276" s="9"/>
      <c r="L276" s="1"/>
      <c r="M276" s="8"/>
      <c r="N276" s="1"/>
      <c r="O276" s="1"/>
      <c r="P276" s="9"/>
      <c r="Q276" s="1"/>
      <c r="R276" s="8"/>
      <c r="S276" s="10"/>
      <c r="T276" s="10"/>
      <c r="U276" s="10"/>
      <c r="V276" s="15"/>
      <c r="W276" s="15"/>
      <c r="X276" s="15"/>
      <c r="Y276" s="15"/>
      <c r="Z276" s="14"/>
      <c r="AA276" s="14"/>
      <c r="AB276" s="14"/>
      <c r="AC276" s="14"/>
      <c r="AD276" s="13"/>
      <c r="AE276" s="13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</row>
    <row r="277" spans="2:82" s="11" customFormat="1" x14ac:dyDescent="0.25">
      <c r="B277" s="1"/>
      <c r="C277" s="1"/>
      <c r="D277" s="1"/>
      <c r="E277" s="1"/>
      <c r="F277" s="1"/>
      <c r="G277" s="9"/>
      <c r="H277" s="1"/>
      <c r="I277" s="8"/>
      <c r="J277" s="8"/>
      <c r="K277" s="9"/>
      <c r="L277" s="1"/>
      <c r="M277" s="8"/>
      <c r="N277" s="1"/>
      <c r="O277" s="1"/>
      <c r="P277" s="9"/>
      <c r="Q277" s="1"/>
      <c r="R277" s="8"/>
      <c r="S277" s="10"/>
      <c r="T277" s="10"/>
      <c r="U277" s="10"/>
      <c r="V277" s="15"/>
      <c r="W277" s="15"/>
      <c r="X277" s="15"/>
      <c r="Y277" s="15"/>
      <c r="Z277" s="14"/>
      <c r="AA277" s="14"/>
      <c r="AB277" s="14"/>
      <c r="AC277" s="14"/>
      <c r="AD277" s="13"/>
      <c r="AE277" s="13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</row>
    <row r="278" spans="2:82" s="11" customFormat="1" x14ac:dyDescent="0.25">
      <c r="B278" s="1"/>
      <c r="C278" s="1"/>
      <c r="D278" s="1"/>
      <c r="E278" s="1"/>
      <c r="F278" s="1"/>
      <c r="G278" s="9"/>
      <c r="H278" s="1"/>
      <c r="I278" s="8"/>
      <c r="J278" s="8"/>
      <c r="K278" s="9"/>
      <c r="L278" s="1"/>
      <c r="M278" s="8"/>
      <c r="N278" s="1"/>
      <c r="O278" s="1"/>
      <c r="P278" s="9"/>
      <c r="Q278" s="1"/>
      <c r="R278" s="8"/>
      <c r="S278" s="10"/>
      <c r="T278" s="10"/>
      <c r="U278" s="10"/>
      <c r="V278" s="15"/>
      <c r="W278" s="15"/>
      <c r="X278" s="15"/>
      <c r="Y278" s="15"/>
      <c r="Z278" s="14"/>
      <c r="AA278" s="14"/>
      <c r="AB278" s="14"/>
      <c r="AC278" s="14"/>
      <c r="AD278" s="13"/>
      <c r="AE278" s="13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</row>
    <row r="279" spans="2:82" s="11" customFormat="1" x14ac:dyDescent="0.25">
      <c r="B279" s="1"/>
      <c r="C279" s="1"/>
      <c r="D279" s="1"/>
      <c r="E279" s="1"/>
      <c r="F279" s="1"/>
      <c r="G279" s="9"/>
      <c r="H279" s="1"/>
      <c r="I279" s="8"/>
      <c r="J279" s="8"/>
      <c r="K279" s="9"/>
      <c r="L279" s="1"/>
      <c r="M279" s="8"/>
      <c r="N279" s="1"/>
      <c r="O279" s="1"/>
      <c r="P279" s="9"/>
      <c r="Q279" s="1"/>
      <c r="R279" s="8"/>
      <c r="S279" s="10"/>
      <c r="T279" s="10"/>
      <c r="U279" s="10"/>
      <c r="V279" s="15"/>
      <c r="W279" s="15"/>
      <c r="X279" s="15"/>
      <c r="Y279" s="15"/>
      <c r="Z279" s="14"/>
      <c r="AA279" s="14"/>
      <c r="AB279" s="14"/>
      <c r="AC279" s="14"/>
      <c r="AD279" s="13"/>
      <c r="AE279" s="13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</row>
    <row r="280" spans="2:82" s="11" customFormat="1" x14ac:dyDescent="0.25">
      <c r="B280" s="1"/>
      <c r="C280" s="1"/>
      <c r="D280" s="1"/>
      <c r="E280" s="1"/>
      <c r="F280" s="1"/>
      <c r="G280" s="9"/>
      <c r="H280" s="1"/>
      <c r="I280" s="8"/>
      <c r="J280" s="8"/>
      <c r="K280" s="9"/>
      <c r="L280" s="1"/>
      <c r="M280" s="8"/>
      <c r="N280" s="1"/>
      <c r="O280" s="1"/>
      <c r="P280" s="9"/>
      <c r="Q280" s="1"/>
      <c r="R280" s="8"/>
      <c r="S280" s="10"/>
      <c r="T280" s="10"/>
      <c r="U280" s="10"/>
      <c r="V280" s="15"/>
      <c r="W280" s="15"/>
      <c r="X280" s="15"/>
      <c r="Y280" s="15"/>
      <c r="Z280" s="14"/>
      <c r="AA280" s="14"/>
      <c r="AB280" s="14"/>
      <c r="AC280" s="14"/>
      <c r="AD280" s="13"/>
      <c r="AE280" s="13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</row>
    <row r="281" spans="2:82" s="11" customFormat="1" x14ac:dyDescent="0.25">
      <c r="B281" s="1"/>
      <c r="C281" s="1"/>
      <c r="D281" s="1"/>
      <c r="E281" s="1"/>
      <c r="F281" s="1"/>
      <c r="G281" s="9"/>
      <c r="H281" s="1"/>
      <c r="I281" s="8"/>
      <c r="J281" s="8"/>
      <c r="K281" s="9"/>
      <c r="L281" s="1"/>
      <c r="M281" s="8"/>
      <c r="N281" s="1"/>
      <c r="O281" s="1"/>
      <c r="P281" s="9"/>
      <c r="Q281" s="1"/>
      <c r="R281" s="8"/>
      <c r="S281" s="10"/>
      <c r="T281" s="10"/>
      <c r="U281" s="10"/>
      <c r="V281" s="15"/>
      <c r="W281" s="15"/>
      <c r="X281" s="15"/>
      <c r="Y281" s="15"/>
      <c r="Z281" s="14"/>
      <c r="AA281" s="14"/>
      <c r="AB281" s="14"/>
      <c r="AC281" s="14"/>
      <c r="AD281" s="13"/>
      <c r="AE281" s="13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</row>
    <row r="282" spans="2:82" s="11" customFormat="1" x14ac:dyDescent="0.25">
      <c r="B282" s="1"/>
      <c r="C282" s="1"/>
      <c r="D282" s="1"/>
      <c r="E282" s="1"/>
      <c r="F282" s="1"/>
      <c r="G282" s="9"/>
      <c r="H282" s="1"/>
      <c r="I282" s="8"/>
      <c r="J282" s="8"/>
      <c r="K282" s="9"/>
      <c r="L282" s="1"/>
      <c r="M282" s="8"/>
      <c r="N282" s="1"/>
      <c r="O282" s="1"/>
      <c r="P282" s="9"/>
      <c r="Q282" s="1"/>
      <c r="R282" s="8"/>
      <c r="S282" s="10"/>
      <c r="T282" s="10"/>
      <c r="U282" s="10"/>
      <c r="V282" s="15"/>
      <c r="W282" s="15"/>
      <c r="X282" s="15"/>
      <c r="Y282" s="15"/>
      <c r="Z282" s="14"/>
      <c r="AA282" s="14"/>
      <c r="AB282" s="14"/>
      <c r="AC282" s="14"/>
      <c r="AD282" s="13"/>
      <c r="AE282" s="13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</row>
    <row r="283" spans="2:82" s="11" customFormat="1" x14ac:dyDescent="0.25">
      <c r="B283" s="1"/>
      <c r="C283" s="1"/>
      <c r="D283" s="1"/>
      <c r="E283" s="1"/>
      <c r="F283" s="1"/>
      <c r="G283" s="9"/>
      <c r="H283" s="1"/>
      <c r="I283" s="8"/>
      <c r="J283" s="8"/>
      <c r="K283" s="9"/>
      <c r="L283" s="1"/>
      <c r="M283" s="8"/>
      <c r="N283" s="1"/>
      <c r="O283" s="1"/>
      <c r="P283" s="9"/>
      <c r="Q283" s="1"/>
      <c r="R283" s="8"/>
      <c r="S283" s="10"/>
      <c r="T283" s="10"/>
      <c r="U283" s="10"/>
      <c r="V283" s="15"/>
      <c r="W283" s="15"/>
      <c r="X283" s="15"/>
      <c r="Y283" s="15"/>
      <c r="Z283" s="14"/>
      <c r="AA283" s="14"/>
      <c r="AB283" s="14"/>
      <c r="AC283" s="14"/>
      <c r="AD283" s="13"/>
      <c r="AE283" s="13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</row>
    <row r="284" spans="2:82" s="11" customFormat="1" x14ac:dyDescent="0.25">
      <c r="B284" s="1"/>
      <c r="C284" s="1"/>
      <c r="D284" s="1"/>
      <c r="E284" s="1"/>
      <c r="F284" s="1"/>
      <c r="G284" s="9"/>
      <c r="H284" s="1"/>
      <c r="I284" s="8"/>
      <c r="J284" s="8"/>
      <c r="K284" s="9"/>
      <c r="L284" s="1"/>
      <c r="M284" s="8"/>
      <c r="N284" s="1"/>
      <c r="O284" s="1"/>
      <c r="P284" s="9"/>
      <c r="Q284" s="1"/>
      <c r="R284" s="8"/>
      <c r="S284" s="10"/>
      <c r="T284" s="10"/>
      <c r="U284" s="10"/>
      <c r="V284" s="15"/>
      <c r="W284" s="15"/>
      <c r="X284" s="15"/>
      <c r="Y284" s="15"/>
      <c r="Z284" s="14"/>
      <c r="AA284" s="14"/>
      <c r="AB284" s="14"/>
      <c r="AC284" s="14"/>
      <c r="AD284" s="13"/>
      <c r="AE284" s="13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</row>
    <row r="285" spans="2:82" s="11" customFormat="1" x14ac:dyDescent="0.25">
      <c r="B285" s="1"/>
      <c r="C285" s="1"/>
      <c r="D285" s="1"/>
      <c r="E285" s="1"/>
      <c r="F285" s="1"/>
      <c r="G285" s="9"/>
      <c r="H285" s="1"/>
      <c r="I285" s="8"/>
      <c r="J285" s="8"/>
      <c r="K285" s="9"/>
      <c r="L285" s="1"/>
      <c r="M285" s="8"/>
      <c r="N285" s="1"/>
      <c r="O285" s="1"/>
      <c r="P285" s="9"/>
      <c r="Q285" s="1"/>
      <c r="R285" s="8"/>
      <c r="S285" s="10"/>
      <c r="T285" s="10"/>
      <c r="U285" s="10"/>
      <c r="V285" s="6"/>
      <c r="W285" s="6"/>
      <c r="X285" s="6"/>
      <c r="Y285" s="6"/>
      <c r="Z285" s="5"/>
      <c r="AA285" s="5"/>
      <c r="AB285" s="5"/>
      <c r="AC285" s="5"/>
      <c r="AD285" s="4"/>
      <c r="AE285" s="4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</row>
    <row r="286" spans="2:82" s="11" customFormat="1" x14ac:dyDescent="0.25">
      <c r="B286" s="1"/>
      <c r="C286" s="1"/>
      <c r="D286" s="1"/>
      <c r="E286" s="1"/>
      <c r="F286" s="1"/>
      <c r="G286" s="9"/>
      <c r="H286" s="1"/>
      <c r="I286" s="8"/>
      <c r="J286" s="8"/>
      <c r="K286" s="9"/>
      <c r="L286" s="1"/>
      <c r="M286" s="8"/>
      <c r="N286" s="1"/>
      <c r="O286" s="1"/>
      <c r="P286" s="9"/>
      <c r="Q286" s="1"/>
      <c r="R286" s="8"/>
      <c r="S286" s="10"/>
      <c r="T286" s="10"/>
      <c r="U286" s="10"/>
      <c r="V286" s="6"/>
      <c r="W286" s="6"/>
      <c r="X286" s="6"/>
      <c r="Y286" s="6"/>
      <c r="Z286" s="5"/>
      <c r="AA286" s="5"/>
      <c r="AB286" s="5"/>
      <c r="AC286" s="5"/>
      <c r="AD286" s="4"/>
      <c r="AE286" s="4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</row>
    <row r="287" spans="2:82" s="11" customFormat="1" x14ac:dyDescent="0.25">
      <c r="B287" s="1"/>
      <c r="C287" s="1"/>
      <c r="D287" s="1"/>
      <c r="E287" s="1"/>
      <c r="F287" s="1"/>
      <c r="G287" s="9"/>
      <c r="H287" s="1"/>
      <c r="I287" s="8"/>
      <c r="J287" s="8"/>
      <c r="K287" s="9"/>
      <c r="L287" s="1"/>
      <c r="M287" s="8"/>
      <c r="N287" s="1"/>
      <c r="O287" s="1"/>
      <c r="P287" s="9"/>
      <c r="Q287" s="1"/>
      <c r="R287" s="8"/>
      <c r="S287" s="10"/>
      <c r="T287" s="10"/>
      <c r="U287" s="10"/>
      <c r="V287" s="15"/>
      <c r="W287" s="15"/>
      <c r="X287" s="15"/>
      <c r="Y287" s="15"/>
      <c r="Z287" s="14"/>
      <c r="AA287" s="14"/>
      <c r="AB287" s="14"/>
      <c r="AC287" s="14"/>
      <c r="AD287" s="13"/>
      <c r="AE287" s="13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</row>
    <row r="288" spans="2:82" s="11" customFormat="1" x14ac:dyDescent="0.25">
      <c r="B288" s="1"/>
      <c r="C288" s="1"/>
      <c r="D288" s="1"/>
      <c r="E288" s="1"/>
      <c r="F288" s="1"/>
      <c r="G288" s="9"/>
      <c r="H288" s="1"/>
      <c r="I288" s="8"/>
      <c r="J288" s="8"/>
      <c r="K288" s="9"/>
      <c r="L288" s="1"/>
      <c r="M288" s="8"/>
      <c r="N288" s="1"/>
      <c r="O288" s="1"/>
      <c r="P288" s="9"/>
      <c r="Q288" s="1"/>
      <c r="R288" s="8"/>
      <c r="S288" s="10"/>
      <c r="T288" s="10"/>
      <c r="U288" s="10"/>
      <c r="V288" s="15"/>
      <c r="W288" s="15"/>
      <c r="X288" s="15"/>
      <c r="Y288" s="15"/>
      <c r="Z288" s="14"/>
      <c r="AA288" s="14"/>
      <c r="AB288" s="14"/>
      <c r="AC288" s="14"/>
      <c r="AD288" s="13"/>
      <c r="AE288" s="13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</row>
    <row r="289" spans="2:82" s="11" customFormat="1" x14ac:dyDescent="0.25">
      <c r="B289" s="1"/>
      <c r="C289" s="1"/>
      <c r="D289" s="1"/>
      <c r="E289" s="1"/>
      <c r="F289" s="1"/>
      <c r="G289" s="9"/>
      <c r="H289" s="1"/>
      <c r="I289" s="8"/>
      <c r="J289" s="8"/>
      <c r="K289" s="9"/>
      <c r="L289" s="1"/>
      <c r="M289" s="8"/>
      <c r="N289" s="1"/>
      <c r="O289" s="1"/>
      <c r="P289" s="9"/>
      <c r="Q289" s="1"/>
      <c r="R289" s="8"/>
      <c r="S289" s="10"/>
      <c r="T289" s="10"/>
      <c r="U289" s="10"/>
      <c r="V289" s="15"/>
      <c r="W289" s="15"/>
      <c r="X289" s="15"/>
      <c r="Y289" s="15"/>
      <c r="Z289" s="14"/>
      <c r="AA289" s="14"/>
      <c r="AB289" s="14"/>
      <c r="AC289" s="14"/>
      <c r="AD289" s="13"/>
      <c r="AE289" s="13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</row>
    <row r="290" spans="2:82" s="11" customFormat="1" x14ac:dyDescent="0.25">
      <c r="B290" s="1"/>
      <c r="C290" s="1"/>
      <c r="D290" s="1"/>
      <c r="E290" s="1"/>
      <c r="F290" s="1"/>
      <c r="G290" s="9"/>
      <c r="H290" s="1"/>
      <c r="I290" s="8"/>
      <c r="J290" s="8"/>
      <c r="K290" s="9"/>
      <c r="L290" s="1"/>
      <c r="M290" s="8"/>
      <c r="N290" s="1"/>
      <c r="O290" s="1"/>
      <c r="P290" s="9"/>
      <c r="Q290" s="1"/>
      <c r="R290" s="8"/>
      <c r="S290" s="10"/>
      <c r="T290" s="10"/>
      <c r="U290" s="10"/>
      <c r="V290" s="15"/>
      <c r="W290" s="15"/>
      <c r="X290" s="15"/>
      <c r="Y290" s="15"/>
      <c r="Z290" s="14"/>
      <c r="AA290" s="14"/>
      <c r="AB290" s="14"/>
      <c r="AC290" s="14"/>
      <c r="AD290" s="13"/>
      <c r="AE290" s="13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</row>
    <row r="291" spans="2:82" s="11" customFormat="1" x14ac:dyDescent="0.25">
      <c r="B291" s="1"/>
      <c r="C291" s="1"/>
      <c r="D291" s="1"/>
      <c r="E291" s="1"/>
      <c r="F291" s="1"/>
      <c r="G291" s="9"/>
      <c r="H291" s="1"/>
      <c r="I291" s="8"/>
      <c r="J291" s="8"/>
      <c r="K291" s="9"/>
      <c r="L291" s="1"/>
      <c r="M291" s="8"/>
      <c r="N291" s="1"/>
      <c r="O291" s="1"/>
      <c r="P291" s="9"/>
      <c r="Q291" s="1"/>
      <c r="R291" s="8"/>
      <c r="S291" s="10"/>
      <c r="T291" s="10"/>
      <c r="U291" s="10"/>
      <c r="V291" s="15"/>
      <c r="W291" s="15"/>
      <c r="X291" s="15"/>
      <c r="Y291" s="15"/>
      <c r="Z291" s="14"/>
      <c r="AA291" s="14"/>
      <c r="AB291" s="14"/>
      <c r="AC291" s="14"/>
      <c r="AD291" s="13"/>
      <c r="AE291" s="13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</row>
    <row r="292" spans="2:82" s="11" customFormat="1" x14ac:dyDescent="0.25">
      <c r="B292" s="1"/>
      <c r="C292" s="1"/>
      <c r="D292" s="1"/>
      <c r="E292" s="1"/>
      <c r="F292" s="1"/>
      <c r="G292" s="9"/>
      <c r="H292" s="1"/>
      <c r="I292" s="8"/>
      <c r="J292" s="8"/>
      <c r="K292" s="9"/>
      <c r="L292" s="1"/>
      <c r="M292" s="8"/>
      <c r="N292" s="1"/>
      <c r="O292" s="1"/>
      <c r="P292" s="9"/>
      <c r="Q292" s="1"/>
      <c r="R292" s="8"/>
      <c r="S292" s="10"/>
      <c r="T292" s="10"/>
      <c r="U292" s="10"/>
      <c r="V292" s="15"/>
      <c r="W292" s="15"/>
      <c r="X292" s="15"/>
      <c r="Y292" s="15"/>
      <c r="Z292" s="14"/>
      <c r="AA292" s="14"/>
      <c r="AB292" s="14"/>
      <c r="AC292" s="14"/>
      <c r="AD292" s="13"/>
      <c r="AE292" s="13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</row>
    <row r="293" spans="2:82" s="11" customFormat="1" x14ac:dyDescent="0.25">
      <c r="B293" s="1"/>
      <c r="C293" s="1"/>
      <c r="D293" s="1"/>
      <c r="E293" s="1"/>
      <c r="F293" s="1"/>
      <c r="G293" s="9"/>
      <c r="H293" s="1"/>
      <c r="I293" s="8"/>
      <c r="J293" s="8"/>
      <c r="K293" s="9"/>
      <c r="L293" s="1"/>
      <c r="M293" s="8"/>
      <c r="N293" s="1"/>
      <c r="O293" s="1"/>
      <c r="P293" s="9"/>
      <c r="Q293" s="1"/>
      <c r="R293" s="8"/>
      <c r="S293" s="10"/>
      <c r="T293" s="10"/>
      <c r="U293" s="10"/>
      <c r="V293" s="15"/>
      <c r="W293" s="15"/>
      <c r="X293" s="15"/>
      <c r="Y293" s="15"/>
      <c r="Z293" s="14"/>
      <c r="AA293" s="14"/>
      <c r="AB293" s="14"/>
      <c r="AC293" s="14"/>
      <c r="AD293" s="13"/>
      <c r="AE293" s="13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</row>
    <row r="294" spans="2:82" s="11" customFormat="1" x14ac:dyDescent="0.25">
      <c r="B294" s="1"/>
      <c r="C294" s="1"/>
      <c r="D294" s="1"/>
      <c r="E294" s="1"/>
      <c r="F294" s="1"/>
      <c r="G294" s="9"/>
      <c r="H294" s="1"/>
      <c r="I294" s="8"/>
      <c r="J294" s="8"/>
      <c r="K294" s="9"/>
      <c r="L294" s="1"/>
      <c r="M294" s="8"/>
      <c r="N294" s="1"/>
      <c r="O294" s="1"/>
      <c r="P294" s="9"/>
      <c r="Q294" s="1"/>
      <c r="R294" s="8"/>
      <c r="S294" s="10"/>
      <c r="T294" s="10"/>
      <c r="U294" s="10"/>
      <c r="V294" s="15"/>
      <c r="W294" s="15"/>
      <c r="X294" s="15"/>
      <c r="Y294" s="15"/>
      <c r="Z294" s="14"/>
      <c r="AA294" s="14"/>
      <c r="AB294" s="14"/>
      <c r="AC294" s="14"/>
      <c r="AD294" s="13"/>
      <c r="AE294" s="13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</row>
    <row r="295" spans="2:82" s="11" customFormat="1" x14ac:dyDescent="0.25">
      <c r="B295" s="1"/>
      <c r="C295" s="1"/>
      <c r="D295" s="1"/>
      <c r="E295" s="1"/>
      <c r="F295" s="1"/>
      <c r="G295" s="9"/>
      <c r="H295" s="1"/>
      <c r="I295" s="8"/>
      <c r="J295" s="8"/>
      <c r="K295" s="9"/>
      <c r="L295" s="1"/>
      <c r="M295" s="8"/>
      <c r="N295" s="1"/>
      <c r="O295" s="1"/>
      <c r="P295" s="9"/>
      <c r="Q295" s="1"/>
      <c r="R295" s="8"/>
      <c r="S295" s="10"/>
      <c r="T295" s="10"/>
      <c r="U295" s="10"/>
      <c r="V295" s="15"/>
      <c r="W295" s="15"/>
      <c r="X295" s="15"/>
      <c r="Y295" s="15"/>
      <c r="Z295" s="14"/>
      <c r="AA295" s="14"/>
      <c r="AB295" s="14"/>
      <c r="AC295" s="14"/>
      <c r="AD295" s="13"/>
      <c r="AE295" s="13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</row>
    <row r="296" spans="2:82" s="11" customFormat="1" x14ac:dyDescent="0.25">
      <c r="B296" s="1"/>
      <c r="C296" s="1"/>
      <c r="D296" s="1"/>
      <c r="E296" s="1"/>
      <c r="F296" s="1"/>
      <c r="G296" s="9"/>
      <c r="H296" s="1"/>
      <c r="I296" s="8"/>
      <c r="J296" s="8"/>
      <c r="K296" s="9"/>
      <c r="L296" s="1"/>
      <c r="M296" s="8"/>
      <c r="N296" s="1"/>
      <c r="O296" s="1"/>
      <c r="P296" s="9"/>
      <c r="Q296" s="1"/>
      <c r="R296" s="8"/>
      <c r="S296" s="10"/>
      <c r="T296" s="10"/>
      <c r="U296" s="10"/>
      <c r="V296" s="15"/>
      <c r="W296" s="15"/>
      <c r="X296" s="15"/>
      <c r="Y296" s="15"/>
      <c r="Z296" s="14"/>
      <c r="AA296" s="14"/>
      <c r="AB296" s="14"/>
      <c r="AC296" s="14"/>
      <c r="AD296" s="13"/>
      <c r="AE296" s="13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</row>
    <row r="297" spans="2:82" s="11" customFormat="1" x14ac:dyDescent="0.25">
      <c r="B297" s="1"/>
      <c r="C297" s="1"/>
      <c r="D297" s="1"/>
      <c r="E297" s="1"/>
      <c r="F297" s="1"/>
      <c r="G297" s="9"/>
      <c r="H297" s="1"/>
      <c r="I297" s="8"/>
      <c r="J297" s="8"/>
      <c r="K297" s="9"/>
      <c r="L297" s="1"/>
      <c r="M297" s="8"/>
      <c r="N297" s="1"/>
      <c r="O297" s="1"/>
      <c r="P297" s="9"/>
      <c r="Q297" s="1"/>
      <c r="R297" s="8"/>
      <c r="S297" s="10"/>
      <c r="T297" s="10"/>
      <c r="U297" s="10"/>
      <c r="V297" s="6"/>
      <c r="W297" s="6"/>
      <c r="X297" s="6"/>
      <c r="Y297" s="6"/>
      <c r="Z297" s="5"/>
      <c r="AA297" s="5"/>
      <c r="AB297" s="5"/>
      <c r="AC297" s="5"/>
      <c r="AD297" s="4"/>
      <c r="AE297" s="4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</row>
    <row r="298" spans="2:82" s="11" customFormat="1" x14ac:dyDescent="0.25">
      <c r="B298" s="1"/>
      <c r="C298" s="1"/>
      <c r="D298" s="1"/>
      <c r="E298" s="1"/>
      <c r="F298" s="1"/>
      <c r="G298" s="9"/>
      <c r="H298" s="1"/>
      <c r="I298" s="8"/>
      <c r="J298" s="8"/>
      <c r="K298" s="9"/>
      <c r="L298" s="1"/>
      <c r="M298" s="8"/>
      <c r="N298" s="1"/>
      <c r="O298" s="1"/>
      <c r="P298" s="9"/>
      <c r="Q298" s="1"/>
      <c r="R298" s="8"/>
      <c r="S298" s="10"/>
      <c r="T298" s="10"/>
      <c r="U298" s="10"/>
      <c r="V298" s="6"/>
      <c r="W298" s="6"/>
      <c r="X298" s="6"/>
      <c r="Y298" s="6"/>
      <c r="Z298" s="5"/>
      <c r="AA298" s="5"/>
      <c r="AB298" s="5"/>
      <c r="AC298" s="5"/>
      <c r="AD298" s="4"/>
      <c r="AE298" s="4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</row>
    <row r="299" spans="2:82" s="11" customFormat="1" x14ac:dyDescent="0.25">
      <c r="B299" s="1"/>
      <c r="C299" s="1"/>
      <c r="D299" s="1"/>
      <c r="E299" s="1"/>
      <c r="F299" s="1"/>
      <c r="G299" s="9"/>
      <c r="H299" s="1"/>
      <c r="I299" s="8"/>
      <c r="J299" s="8"/>
      <c r="K299" s="9"/>
      <c r="L299" s="1"/>
      <c r="M299" s="8"/>
      <c r="N299" s="1"/>
      <c r="O299" s="1"/>
      <c r="P299" s="9"/>
      <c r="Q299" s="1"/>
      <c r="R299" s="8"/>
      <c r="S299" s="10"/>
      <c r="T299" s="10"/>
      <c r="U299" s="10"/>
      <c r="V299" s="15"/>
      <c r="W299" s="15"/>
      <c r="X299" s="15"/>
      <c r="Y299" s="15"/>
      <c r="Z299" s="14"/>
      <c r="AA299" s="14"/>
      <c r="AB299" s="14"/>
      <c r="AC299" s="14"/>
      <c r="AD299" s="13"/>
      <c r="AE299" s="13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</row>
    <row r="300" spans="2:82" s="11" customFormat="1" x14ac:dyDescent="0.25">
      <c r="B300" s="1"/>
      <c r="C300" s="1"/>
      <c r="D300" s="1"/>
      <c r="E300" s="1"/>
      <c r="F300" s="1"/>
      <c r="G300" s="9"/>
      <c r="H300" s="1"/>
      <c r="I300" s="8"/>
      <c r="J300" s="8"/>
      <c r="K300" s="9"/>
      <c r="L300" s="1"/>
      <c r="M300" s="8"/>
      <c r="N300" s="1"/>
      <c r="O300" s="1"/>
      <c r="P300" s="9"/>
      <c r="Q300" s="1"/>
      <c r="R300" s="8"/>
      <c r="S300" s="10"/>
      <c r="T300" s="10"/>
      <c r="U300" s="10"/>
      <c r="V300" s="15"/>
      <c r="W300" s="15"/>
      <c r="X300" s="15"/>
      <c r="Y300" s="15"/>
      <c r="Z300" s="14"/>
      <c r="AA300" s="14"/>
      <c r="AB300" s="14"/>
      <c r="AC300" s="14"/>
      <c r="AD300" s="13"/>
      <c r="AE300" s="13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</row>
    <row r="301" spans="2:82" s="11" customFormat="1" x14ac:dyDescent="0.25">
      <c r="B301" s="1"/>
      <c r="C301" s="1"/>
      <c r="D301" s="1"/>
      <c r="E301" s="1"/>
      <c r="F301" s="1"/>
      <c r="G301" s="9"/>
      <c r="H301" s="1"/>
      <c r="I301" s="8"/>
      <c r="J301" s="8"/>
      <c r="K301" s="9"/>
      <c r="L301" s="1"/>
      <c r="M301" s="8"/>
      <c r="N301" s="1"/>
      <c r="O301" s="1"/>
      <c r="P301" s="9"/>
      <c r="Q301" s="1"/>
      <c r="R301" s="8"/>
      <c r="S301" s="10"/>
      <c r="T301" s="10"/>
      <c r="U301" s="10"/>
      <c r="V301" s="15"/>
      <c r="W301" s="15"/>
      <c r="X301" s="15"/>
      <c r="Y301" s="15"/>
      <c r="Z301" s="14"/>
      <c r="AA301" s="14"/>
      <c r="AB301" s="14"/>
      <c r="AC301" s="14"/>
      <c r="AD301" s="13"/>
      <c r="AE301" s="13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</row>
    <row r="302" spans="2:82" s="11" customFormat="1" x14ac:dyDescent="0.25">
      <c r="B302" s="1"/>
      <c r="C302" s="1"/>
      <c r="D302" s="1"/>
      <c r="E302" s="1"/>
      <c r="F302" s="1"/>
      <c r="G302" s="9"/>
      <c r="H302" s="1"/>
      <c r="I302" s="8"/>
      <c r="J302" s="8"/>
      <c r="K302" s="9"/>
      <c r="L302" s="1"/>
      <c r="M302" s="8"/>
      <c r="N302" s="1"/>
      <c r="O302" s="1"/>
      <c r="P302" s="9"/>
      <c r="Q302" s="1"/>
      <c r="R302" s="8"/>
      <c r="S302" s="10"/>
      <c r="T302" s="10"/>
      <c r="U302" s="10"/>
      <c r="V302" s="15"/>
      <c r="W302" s="15"/>
      <c r="X302" s="15"/>
      <c r="Y302" s="15"/>
      <c r="Z302" s="14"/>
      <c r="AA302" s="14"/>
      <c r="AB302" s="14"/>
      <c r="AC302" s="14"/>
      <c r="AD302" s="13"/>
      <c r="AE302" s="13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</row>
    <row r="303" spans="2:82" s="11" customFormat="1" x14ac:dyDescent="0.25">
      <c r="B303" s="1"/>
      <c r="C303" s="1"/>
      <c r="D303" s="1"/>
      <c r="E303" s="1"/>
      <c r="F303" s="1"/>
      <c r="G303" s="9"/>
      <c r="H303" s="1"/>
      <c r="I303" s="8"/>
      <c r="J303" s="8"/>
      <c r="K303" s="9"/>
      <c r="L303" s="1"/>
      <c r="M303" s="8"/>
      <c r="N303" s="1"/>
      <c r="O303" s="1"/>
      <c r="P303" s="9"/>
      <c r="Q303" s="1"/>
      <c r="R303" s="8"/>
      <c r="S303" s="10"/>
      <c r="T303" s="10"/>
      <c r="U303" s="10"/>
      <c r="V303" s="15"/>
      <c r="W303" s="15"/>
      <c r="X303" s="15"/>
      <c r="Y303" s="15"/>
      <c r="Z303" s="14"/>
      <c r="AA303" s="14"/>
      <c r="AB303" s="14"/>
      <c r="AC303" s="14"/>
      <c r="AD303" s="13"/>
      <c r="AE303" s="13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</row>
    <row r="304" spans="2:82" s="11" customFormat="1" x14ac:dyDescent="0.25">
      <c r="B304" s="1"/>
      <c r="C304" s="1"/>
      <c r="D304" s="1"/>
      <c r="E304" s="1"/>
      <c r="F304" s="1"/>
      <c r="G304" s="9"/>
      <c r="H304" s="1"/>
      <c r="I304" s="8"/>
      <c r="J304" s="8"/>
      <c r="K304" s="9"/>
      <c r="L304" s="1"/>
      <c r="M304" s="8"/>
      <c r="N304" s="1"/>
      <c r="O304" s="1"/>
      <c r="P304" s="9"/>
      <c r="Q304" s="1"/>
      <c r="R304" s="8"/>
      <c r="S304" s="10"/>
      <c r="T304" s="10"/>
      <c r="U304" s="10"/>
      <c r="V304" s="15"/>
      <c r="W304" s="15"/>
      <c r="X304" s="15"/>
      <c r="Y304" s="15"/>
      <c r="Z304" s="14"/>
      <c r="AA304" s="14"/>
      <c r="AB304" s="14"/>
      <c r="AC304" s="14"/>
      <c r="AD304" s="13"/>
      <c r="AE304" s="13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</row>
    <row r="305" spans="2:82" s="11" customFormat="1" x14ac:dyDescent="0.25">
      <c r="B305" s="1"/>
      <c r="C305" s="1"/>
      <c r="D305" s="1"/>
      <c r="E305" s="1"/>
      <c r="F305" s="1"/>
      <c r="G305" s="9"/>
      <c r="H305" s="1"/>
      <c r="I305" s="8"/>
      <c r="J305" s="8"/>
      <c r="K305" s="9"/>
      <c r="L305" s="1"/>
      <c r="M305" s="8"/>
      <c r="N305" s="1"/>
      <c r="O305" s="1"/>
      <c r="P305" s="9"/>
      <c r="Q305" s="1"/>
      <c r="R305" s="8"/>
      <c r="S305" s="10"/>
      <c r="T305" s="10"/>
      <c r="U305" s="10"/>
      <c r="V305" s="15"/>
      <c r="W305" s="15"/>
      <c r="X305" s="15"/>
      <c r="Y305" s="15"/>
      <c r="Z305" s="14"/>
      <c r="AA305" s="14"/>
      <c r="AB305" s="14"/>
      <c r="AC305" s="14"/>
      <c r="AD305" s="13"/>
      <c r="AE305" s="13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</row>
    <row r="306" spans="2:82" s="11" customFormat="1" x14ac:dyDescent="0.25">
      <c r="B306" s="1"/>
      <c r="C306" s="1"/>
      <c r="D306" s="1"/>
      <c r="E306" s="1"/>
      <c r="F306" s="1"/>
      <c r="G306" s="9"/>
      <c r="H306" s="1"/>
      <c r="I306" s="8"/>
      <c r="J306" s="8"/>
      <c r="K306" s="9"/>
      <c r="L306" s="1"/>
      <c r="M306" s="8"/>
      <c r="N306" s="1"/>
      <c r="O306" s="1"/>
      <c r="P306" s="9"/>
      <c r="Q306" s="1"/>
      <c r="R306" s="8"/>
      <c r="S306" s="10"/>
      <c r="T306" s="10"/>
      <c r="U306" s="10"/>
      <c r="V306" s="15"/>
      <c r="W306" s="15"/>
      <c r="X306" s="15"/>
      <c r="Y306" s="15"/>
      <c r="Z306" s="14"/>
      <c r="AA306" s="14"/>
      <c r="AB306" s="14"/>
      <c r="AC306" s="14"/>
      <c r="AD306" s="13"/>
      <c r="AE306" s="13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</row>
    <row r="307" spans="2:82" s="11" customFormat="1" x14ac:dyDescent="0.25">
      <c r="B307" s="1"/>
      <c r="C307" s="1"/>
      <c r="D307" s="1"/>
      <c r="E307" s="1"/>
      <c r="F307" s="1"/>
      <c r="G307" s="9"/>
      <c r="H307" s="1"/>
      <c r="I307" s="8"/>
      <c r="J307" s="8"/>
      <c r="K307" s="9"/>
      <c r="L307" s="1"/>
      <c r="M307" s="8"/>
      <c r="N307" s="1"/>
      <c r="O307" s="1"/>
      <c r="P307" s="9"/>
      <c r="Q307" s="1"/>
      <c r="R307" s="8"/>
      <c r="S307" s="10"/>
      <c r="T307" s="10"/>
      <c r="U307" s="10"/>
      <c r="V307" s="15"/>
      <c r="W307" s="15"/>
      <c r="X307" s="15"/>
      <c r="Y307" s="15"/>
      <c r="Z307" s="14"/>
      <c r="AA307" s="14"/>
      <c r="AB307" s="14"/>
      <c r="AC307" s="14"/>
      <c r="AD307" s="13"/>
      <c r="AE307" s="13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</row>
    <row r="308" spans="2:82" s="11" customFormat="1" x14ac:dyDescent="0.25">
      <c r="B308" s="1"/>
      <c r="C308" s="1"/>
      <c r="D308" s="1"/>
      <c r="E308" s="1"/>
      <c r="F308" s="1"/>
      <c r="G308" s="9"/>
      <c r="H308" s="1"/>
      <c r="I308" s="8"/>
      <c r="J308" s="8"/>
      <c r="K308" s="9"/>
      <c r="L308" s="1"/>
      <c r="M308" s="8"/>
      <c r="N308" s="1"/>
      <c r="O308" s="1"/>
      <c r="P308" s="9"/>
      <c r="Q308" s="1"/>
      <c r="R308" s="8"/>
      <c r="S308" s="10"/>
      <c r="T308" s="10"/>
      <c r="U308" s="10"/>
      <c r="V308" s="15"/>
      <c r="W308" s="15"/>
      <c r="X308" s="15"/>
      <c r="Y308" s="15"/>
      <c r="Z308" s="14"/>
      <c r="AA308" s="14"/>
      <c r="AB308" s="14"/>
      <c r="AC308" s="14"/>
      <c r="AD308" s="13"/>
      <c r="AE308" s="13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</row>
    <row r="309" spans="2:82" s="11" customFormat="1" x14ac:dyDescent="0.25">
      <c r="B309" s="1"/>
      <c r="C309" s="1"/>
      <c r="D309" s="1"/>
      <c r="E309" s="1"/>
      <c r="F309" s="1"/>
      <c r="G309" s="9"/>
      <c r="H309" s="1"/>
      <c r="I309" s="8"/>
      <c r="J309" s="8"/>
      <c r="K309" s="9"/>
      <c r="L309" s="1"/>
      <c r="M309" s="8"/>
      <c r="N309" s="1"/>
      <c r="O309" s="1"/>
      <c r="P309" s="9"/>
      <c r="Q309" s="1"/>
      <c r="R309" s="8"/>
      <c r="S309" s="10"/>
      <c r="T309" s="10"/>
      <c r="U309" s="10"/>
      <c r="V309" s="6"/>
      <c r="W309" s="6"/>
      <c r="X309" s="6"/>
      <c r="Y309" s="6"/>
      <c r="Z309" s="5"/>
      <c r="AA309" s="5"/>
      <c r="AB309" s="5"/>
      <c r="AC309" s="5"/>
      <c r="AD309" s="4"/>
      <c r="AE309" s="4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</row>
    <row r="310" spans="2:82" s="11" customFormat="1" x14ac:dyDescent="0.25">
      <c r="B310" s="1"/>
      <c r="C310" s="1"/>
      <c r="D310" s="1"/>
      <c r="E310" s="1"/>
      <c r="F310" s="1"/>
      <c r="G310" s="9"/>
      <c r="H310" s="1"/>
      <c r="I310" s="8"/>
      <c r="J310" s="8"/>
      <c r="K310" s="9"/>
      <c r="L310" s="1"/>
      <c r="M310" s="8"/>
      <c r="N310" s="1"/>
      <c r="O310" s="1"/>
      <c r="P310" s="9"/>
      <c r="Q310" s="1"/>
      <c r="R310" s="8"/>
      <c r="S310" s="10"/>
      <c r="T310" s="10"/>
      <c r="U310" s="10"/>
      <c r="V310" s="6"/>
      <c r="W310" s="6"/>
      <c r="X310" s="6"/>
      <c r="Y310" s="6"/>
      <c r="Z310" s="5"/>
      <c r="AA310" s="5"/>
      <c r="AB310" s="5"/>
      <c r="AC310" s="5"/>
      <c r="AD310" s="4"/>
      <c r="AE310" s="4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</row>
    <row r="311" spans="2:82" s="11" customFormat="1" x14ac:dyDescent="0.25">
      <c r="B311" s="1"/>
      <c r="C311" s="1"/>
      <c r="D311" s="1"/>
      <c r="E311" s="1"/>
      <c r="F311" s="1"/>
      <c r="G311" s="9"/>
      <c r="H311" s="1"/>
      <c r="I311" s="8"/>
      <c r="J311" s="8"/>
      <c r="K311" s="9"/>
      <c r="L311" s="1"/>
      <c r="M311" s="8"/>
      <c r="N311" s="1"/>
      <c r="O311" s="1"/>
      <c r="P311" s="9"/>
      <c r="Q311" s="1"/>
      <c r="R311" s="8"/>
      <c r="S311" s="10"/>
      <c r="T311" s="10"/>
      <c r="U311" s="10"/>
      <c r="V311" s="15"/>
      <c r="W311" s="15"/>
      <c r="X311" s="15"/>
      <c r="Y311" s="15"/>
      <c r="Z311" s="14"/>
      <c r="AA311" s="14"/>
      <c r="AB311" s="14"/>
      <c r="AC311" s="14"/>
      <c r="AD311" s="13"/>
      <c r="AE311" s="13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</row>
    <row r="312" spans="2:82" s="11" customFormat="1" x14ac:dyDescent="0.25">
      <c r="B312" s="1"/>
      <c r="C312" s="1"/>
      <c r="D312" s="1"/>
      <c r="E312" s="1"/>
      <c r="F312" s="1"/>
      <c r="G312" s="9"/>
      <c r="H312" s="1"/>
      <c r="I312" s="8"/>
      <c r="J312" s="8"/>
      <c r="K312" s="9"/>
      <c r="L312" s="1"/>
      <c r="M312" s="8"/>
      <c r="N312" s="1"/>
      <c r="O312" s="1"/>
      <c r="P312" s="9"/>
      <c r="Q312" s="1"/>
      <c r="R312" s="8"/>
      <c r="S312" s="10"/>
      <c r="T312" s="10"/>
      <c r="U312" s="10"/>
      <c r="V312" s="15"/>
      <c r="W312" s="15"/>
      <c r="X312" s="15"/>
      <c r="Y312" s="15"/>
      <c r="Z312" s="14"/>
      <c r="AA312" s="14"/>
      <c r="AB312" s="14"/>
      <c r="AC312" s="14"/>
      <c r="AD312" s="13"/>
      <c r="AE312" s="13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</row>
    <row r="313" spans="2:82" s="11" customFormat="1" x14ac:dyDescent="0.25">
      <c r="B313" s="1"/>
      <c r="C313" s="1"/>
      <c r="D313" s="1"/>
      <c r="E313" s="1"/>
      <c r="F313" s="1"/>
      <c r="G313" s="9"/>
      <c r="H313" s="1"/>
      <c r="I313" s="8"/>
      <c r="J313" s="8"/>
      <c r="K313" s="9"/>
      <c r="L313" s="1"/>
      <c r="M313" s="8"/>
      <c r="N313" s="1"/>
      <c r="O313" s="1"/>
      <c r="P313" s="9"/>
      <c r="Q313" s="1"/>
      <c r="R313" s="8"/>
      <c r="S313" s="10"/>
      <c r="T313" s="10"/>
      <c r="U313" s="10"/>
      <c r="V313" s="15"/>
      <c r="W313" s="15"/>
      <c r="X313" s="15"/>
      <c r="Y313" s="15"/>
      <c r="Z313" s="14"/>
      <c r="AA313" s="14"/>
      <c r="AB313" s="14"/>
      <c r="AC313" s="14"/>
      <c r="AD313" s="13"/>
      <c r="AE313" s="13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</row>
    <row r="314" spans="2:82" s="11" customFormat="1" x14ac:dyDescent="0.25">
      <c r="B314" s="1"/>
      <c r="C314" s="1"/>
      <c r="D314" s="1"/>
      <c r="E314" s="1"/>
      <c r="F314" s="1"/>
      <c r="G314" s="9"/>
      <c r="H314" s="1"/>
      <c r="I314" s="8"/>
      <c r="J314" s="8"/>
      <c r="K314" s="9"/>
      <c r="L314" s="1"/>
      <c r="M314" s="8"/>
      <c r="N314" s="1"/>
      <c r="O314" s="1"/>
      <c r="P314" s="9"/>
      <c r="Q314" s="1"/>
      <c r="R314" s="8"/>
      <c r="S314" s="10"/>
      <c r="T314" s="10"/>
      <c r="U314" s="10"/>
      <c r="V314" s="15"/>
      <c r="W314" s="15"/>
      <c r="X314" s="15"/>
      <c r="Y314" s="15"/>
      <c r="Z314" s="14"/>
      <c r="AA314" s="14"/>
      <c r="AB314" s="14"/>
      <c r="AC314" s="14"/>
      <c r="AD314" s="13"/>
      <c r="AE314" s="13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</row>
    <row r="315" spans="2:82" s="11" customFormat="1" x14ac:dyDescent="0.25">
      <c r="B315" s="1"/>
      <c r="C315" s="1"/>
      <c r="D315" s="1"/>
      <c r="E315" s="1"/>
      <c r="F315" s="1"/>
      <c r="G315" s="9"/>
      <c r="H315" s="1"/>
      <c r="I315" s="8"/>
      <c r="J315" s="8"/>
      <c r="K315" s="9"/>
      <c r="L315" s="1"/>
      <c r="M315" s="8"/>
      <c r="N315" s="1"/>
      <c r="O315" s="1"/>
      <c r="P315" s="9"/>
      <c r="Q315" s="1"/>
      <c r="R315" s="8"/>
      <c r="S315" s="10"/>
      <c r="T315" s="10"/>
      <c r="U315" s="10"/>
      <c r="V315" s="15"/>
      <c r="W315" s="15"/>
      <c r="X315" s="15"/>
      <c r="Y315" s="15"/>
      <c r="Z315" s="14"/>
      <c r="AA315" s="14"/>
      <c r="AB315" s="14"/>
      <c r="AC315" s="14"/>
      <c r="AD315" s="13"/>
      <c r="AE315" s="13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</row>
    <row r="316" spans="2:82" s="11" customFormat="1" x14ac:dyDescent="0.25">
      <c r="B316" s="1"/>
      <c r="C316" s="1"/>
      <c r="D316" s="1"/>
      <c r="E316" s="1"/>
      <c r="F316" s="1"/>
      <c r="G316" s="9"/>
      <c r="H316" s="1"/>
      <c r="I316" s="8"/>
      <c r="J316" s="8"/>
      <c r="K316" s="9"/>
      <c r="L316" s="1"/>
      <c r="M316" s="8"/>
      <c r="N316" s="1"/>
      <c r="O316" s="1"/>
      <c r="P316" s="9"/>
      <c r="Q316" s="1"/>
      <c r="R316" s="8"/>
      <c r="S316" s="10"/>
      <c r="T316" s="10"/>
      <c r="U316" s="10"/>
      <c r="V316" s="15"/>
      <c r="W316" s="15"/>
      <c r="X316" s="15"/>
      <c r="Y316" s="15"/>
      <c r="Z316" s="14"/>
      <c r="AA316" s="14"/>
      <c r="AB316" s="14"/>
      <c r="AC316" s="14"/>
      <c r="AD316" s="13"/>
      <c r="AE316" s="13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</row>
    <row r="317" spans="2:82" s="11" customFormat="1" x14ac:dyDescent="0.25">
      <c r="B317" s="1"/>
      <c r="C317" s="1"/>
      <c r="D317" s="1"/>
      <c r="E317" s="1"/>
      <c r="F317" s="1"/>
      <c r="G317" s="9"/>
      <c r="H317" s="1"/>
      <c r="I317" s="8"/>
      <c r="J317" s="8"/>
      <c r="K317" s="9"/>
      <c r="L317" s="1"/>
      <c r="M317" s="8"/>
      <c r="N317" s="1"/>
      <c r="O317" s="1"/>
      <c r="P317" s="9"/>
      <c r="Q317" s="1"/>
      <c r="R317" s="8"/>
      <c r="S317" s="10"/>
      <c r="T317" s="10"/>
      <c r="U317" s="10"/>
      <c r="V317" s="15"/>
      <c r="W317" s="15"/>
      <c r="X317" s="15"/>
      <c r="Y317" s="15"/>
      <c r="Z317" s="14"/>
      <c r="AA317" s="14"/>
      <c r="AB317" s="14"/>
      <c r="AC317" s="14"/>
      <c r="AD317" s="13"/>
      <c r="AE317" s="13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2:82" s="11" customFormat="1" x14ac:dyDescent="0.25">
      <c r="B318" s="1"/>
      <c r="C318" s="1"/>
      <c r="D318" s="1"/>
      <c r="E318" s="1"/>
      <c r="F318" s="1"/>
      <c r="G318" s="9"/>
      <c r="H318" s="1"/>
      <c r="I318" s="8"/>
      <c r="J318" s="8"/>
      <c r="K318" s="9"/>
      <c r="L318" s="1"/>
      <c r="M318" s="8"/>
      <c r="N318" s="1"/>
      <c r="O318" s="1"/>
      <c r="P318" s="9"/>
      <c r="Q318" s="1"/>
      <c r="R318" s="8"/>
      <c r="S318" s="10"/>
      <c r="T318" s="10"/>
      <c r="U318" s="10"/>
      <c r="V318" s="15"/>
      <c r="W318" s="15"/>
      <c r="X318" s="15"/>
      <c r="Y318" s="15"/>
      <c r="Z318" s="14"/>
      <c r="AA318" s="14"/>
      <c r="AB318" s="14"/>
      <c r="AC318" s="14"/>
      <c r="AD318" s="13"/>
      <c r="AE318" s="13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</row>
    <row r="319" spans="2:82" s="11" customFormat="1" x14ac:dyDescent="0.25">
      <c r="B319" s="1"/>
      <c r="C319" s="1"/>
      <c r="D319" s="1"/>
      <c r="E319" s="1"/>
      <c r="F319" s="1"/>
      <c r="G319" s="9"/>
      <c r="H319" s="1"/>
      <c r="I319" s="8"/>
      <c r="J319" s="8"/>
      <c r="K319" s="9"/>
      <c r="L319" s="1"/>
      <c r="M319" s="8"/>
      <c r="N319" s="1"/>
      <c r="O319" s="1"/>
      <c r="P319" s="9"/>
      <c r="Q319" s="1"/>
      <c r="R319" s="8"/>
      <c r="S319" s="10"/>
      <c r="T319" s="10"/>
      <c r="U319" s="10"/>
      <c r="V319" s="15"/>
      <c r="W319" s="15"/>
      <c r="X319" s="15"/>
      <c r="Y319" s="15"/>
      <c r="Z319" s="14"/>
      <c r="AA319" s="14"/>
      <c r="AB319" s="14"/>
      <c r="AC319" s="14"/>
      <c r="AD319" s="13"/>
      <c r="AE319" s="13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</row>
    <row r="320" spans="2:82" s="11" customFormat="1" x14ac:dyDescent="0.25">
      <c r="B320" s="1"/>
      <c r="C320" s="1"/>
      <c r="D320" s="1"/>
      <c r="E320" s="1"/>
      <c r="F320" s="1"/>
      <c r="G320" s="9"/>
      <c r="H320" s="1"/>
      <c r="I320" s="8"/>
      <c r="J320" s="8"/>
      <c r="K320" s="9"/>
      <c r="L320" s="1"/>
      <c r="M320" s="8"/>
      <c r="N320" s="1"/>
      <c r="O320" s="1"/>
      <c r="P320" s="9"/>
      <c r="Q320" s="1"/>
      <c r="R320" s="8"/>
      <c r="S320" s="10"/>
      <c r="T320" s="10"/>
      <c r="U320" s="10"/>
      <c r="V320" s="15"/>
      <c r="W320" s="15"/>
      <c r="X320" s="15"/>
      <c r="Y320" s="15"/>
      <c r="Z320" s="14"/>
      <c r="AA320" s="14"/>
      <c r="AB320" s="14"/>
      <c r="AC320" s="14"/>
      <c r="AD320" s="13"/>
      <c r="AE320" s="13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</row>
    <row r="321" spans="2:82" s="11" customFormat="1" x14ac:dyDescent="0.25">
      <c r="B321" s="1"/>
      <c r="C321" s="1"/>
      <c r="D321" s="1"/>
      <c r="E321" s="1"/>
      <c r="F321" s="1"/>
      <c r="G321" s="9"/>
      <c r="H321" s="1"/>
      <c r="I321" s="8"/>
      <c r="J321" s="8"/>
      <c r="K321" s="9"/>
      <c r="L321" s="1"/>
      <c r="M321" s="8"/>
      <c r="N321" s="1"/>
      <c r="O321" s="1"/>
      <c r="P321" s="9"/>
      <c r="Q321" s="1"/>
      <c r="R321" s="8"/>
      <c r="S321" s="10"/>
      <c r="T321" s="10"/>
      <c r="U321" s="10"/>
      <c r="V321" s="6"/>
      <c r="W321" s="6"/>
      <c r="X321" s="6"/>
      <c r="Y321" s="6"/>
      <c r="Z321" s="5"/>
      <c r="AA321" s="5"/>
      <c r="AB321" s="5"/>
      <c r="AC321" s="5"/>
      <c r="AD321" s="4"/>
      <c r="AE321" s="4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</row>
    <row r="322" spans="2:82" s="11" customFormat="1" x14ac:dyDescent="0.25">
      <c r="B322" s="1"/>
      <c r="C322" s="1"/>
      <c r="D322" s="1"/>
      <c r="E322" s="1"/>
      <c r="F322" s="1"/>
      <c r="G322" s="9"/>
      <c r="H322" s="1"/>
      <c r="I322" s="8"/>
      <c r="J322" s="8"/>
      <c r="K322" s="9"/>
      <c r="L322" s="1"/>
      <c r="M322" s="8"/>
      <c r="N322" s="1"/>
      <c r="O322" s="1"/>
      <c r="P322" s="9"/>
      <c r="Q322" s="1"/>
      <c r="R322" s="8"/>
      <c r="S322" s="10"/>
      <c r="T322" s="10"/>
      <c r="U322" s="10"/>
      <c r="V322" s="6"/>
      <c r="W322" s="6"/>
      <c r="X322" s="6"/>
      <c r="Y322" s="6"/>
      <c r="Z322" s="5"/>
      <c r="AA322" s="5"/>
      <c r="AB322" s="5"/>
      <c r="AC322" s="5"/>
      <c r="AD322" s="4"/>
      <c r="AE322" s="4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</row>
    <row r="323" spans="2:82" s="11" customFormat="1" x14ac:dyDescent="0.25">
      <c r="B323" s="1"/>
      <c r="C323" s="1"/>
      <c r="D323" s="1"/>
      <c r="E323" s="1"/>
      <c r="F323" s="1"/>
      <c r="G323" s="9"/>
      <c r="H323" s="1"/>
      <c r="I323" s="8"/>
      <c r="J323" s="8"/>
      <c r="K323" s="9"/>
      <c r="L323" s="1"/>
      <c r="M323" s="8"/>
      <c r="N323" s="1"/>
      <c r="O323" s="1"/>
      <c r="P323" s="9"/>
      <c r="Q323" s="1"/>
      <c r="R323" s="8"/>
      <c r="S323" s="10"/>
      <c r="T323" s="10"/>
      <c r="U323" s="10"/>
      <c r="V323" s="15"/>
      <c r="W323" s="15"/>
      <c r="X323" s="15"/>
      <c r="Y323" s="15"/>
      <c r="Z323" s="14"/>
      <c r="AA323" s="14"/>
      <c r="AB323" s="14"/>
      <c r="AC323" s="14"/>
      <c r="AD323" s="13"/>
      <c r="AE323" s="13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</row>
    <row r="324" spans="2:82" s="11" customFormat="1" x14ac:dyDescent="0.25">
      <c r="B324" s="1"/>
      <c r="C324" s="1"/>
      <c r="D324" s="1"/>
      <c r="E324" s="1"/>
      <c r="F324" s="1"/>
      <c r="G324" s="9"/>
      <c r="H324" s="1"/>
      <c r="I324" s="8"/>
      <c r="J324" s="8"/>
      <c r="K324" s="9"/>
      <c r="L324" s="1"/>
      <c r="M324" s="8"/>
      <c r="N324" s="1"/>
      <c r="O324" s="1"/>
      <c r="P324" s="9"/>
      <c r="Q324" s="1"/>
      <c r="R324" s="8"/>
      <c r="S324" s="10"/>
      <c r="T324" s="10"/>
      <c r="U324" s="10"/>
      <c r="V324" s="15"/>
      <c r="W324" s="15"/>
      <c r="X324" s="15"/>
      <c r="Y324" s="15"/>
      <c r="Z324" s="14"/>
      <c r="AA324" s="14"/>
      <c r="AB324" s="14"/>
      <c r="AC324" s="14"/>
      <c r="AD324" s="13"/>
      <c r="AE324" s="13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</row>
    <row r="325" spans="2:82" s="11" customFormat="1" x14ac:dyDescent="0.25">
      <c r="B325" s="1"/>
      <c r="C325" s="1"/>
      <c r="D325" s="1"/>
      <c r="E325" s="1"/>
      <c r="F325" s="1"/>
      <c r="G325" s="9"/>
      <c r="H325" s="1"/>
      <c r="I325" s="8"/>
      <c r="J325" s="8"/>
      <c r="K325" s="9"/>
      <c r="L325" s="1"/>
      <c r="M325" s="8"/>
      <c r="N325" s="1"/>
      <c r="O325" s="1"/>
      <c r="P325" s="9"/>
      <c r="Q325" s="1"/>
      <c r="R325" s="8"/>
      <c r="S325" s="10"/>
      <c r="T325" s="10"/>
      <c r="U325" s="10"/>
      <c r="V325" s="15"/>
      <c r="W325" s="15"/>
      <c r="X325" s="15"/>
      <c r="Y325" s="15"/>
      <c r="Z325" s="14"/>
      <c r="AA325" s="14"/>
      <c r="AB325" s="14"/>
      <c r="AC325" s="14"/>
      <c r="AD325" s="13"/>
      <c r="AE325" s="13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</row>
    <row r="326" spans="2:82" s="11" customFormat="1" x14ac:dyDescent="0.25">
      <c r="B326" s="1"/>
      <c r="C326" s="1"/>
      <c r="D326" s="1"/>
      <c r="E326" s="1"/>
      <c r="F326" s="1"/>
      <c r="G326" s="9"/>
      <c r="H326" s="1"/>
      <c r="I326" s="8"/>
      <c r="J326" s="8"/>
      <c r="K326" s="9"/>
      <c r="L326" s="1"/>
      <c r="M326" s="8"/>
      <c r="N326" s="1"/>
      <c r="O326" s="1"/>
      <c r="P326" s="9"/>
      <c r="Q326" s="1"/>
      <c r="R326" s="8"/>
      <c r="S326" s="10"/>
      <c r="T326" s="10"/>
      <c r="U326" s="10"/>
      <c r="V326" s="15"/>
      <c r="W326" s="15"/>
      <c r="X326" s="15"/>
      <c r="Y326" s="15"/>
      <c r="Z326" s="14"/>
      <c r="AA326" s="14"/>
      <c r="AB326" s="14"/>
      <c r="AC326" s="14"/>
      <c r="AD326" s="13"/>
      <c r="AE326" s="13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</row>
    <row r="327" spans="2:82" s="11" customFormat="1" x14ac:dyDescent="0.25">
      <c r="B327" s="1"/>
      <c r="C327" s="1"/>
      <c r="D327" s="1"/>
      <c r="E327" s="1"/>
      <c r="F327" s="1"/>
      <c r="G327" s="9"/>
      <c r="H327" s="1"/>
      <c r="I327" s="8"/>
      <c r="J327" s="8"/>
      <c r="K327" s="9"/>
      <c r="L327" s="1"/>
      <c r="M327" s="8"/>
      <c r="N327" s="1"/>
      <c r="O327" s="1"/>
      <c r="P327" s="9"/>
      <c r="Q327" s="1"/>
      <c r="R327" s="8"/>
      <c r="S327" s="10"/>
      <c r="T327" s="10"/>
      <c r="U327" s="10"/>
      <c r="V327" s="15"/>
      <c r="W327" s="15"/>
      <c r="X327" s="15"/>
      <c r="Y327" s="15"/>
      <c r="Z327" s="14"/>
      <c r="AA327" s="14"/>
      <c r="AB327" s="14"/>
      <c r="AC327" s="14"/>
      <c r="AD327" s="13"/>
      <c r="AE327" s="13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</row>
    <row r="328" spans="2:82" s="11" customFormat="1" x14ac:dyDescent="0.25">
      <c r="B328" s="1"/>
      <c r="C328" s="1"/>
      <c r="D328" s="1"/>
      <c r="E328" s="1"/>
      <c r="F328" s="1"/>
      <c r="G328" s="9"/>
      <c r="H328" s="1"/>
      <c r="I328" s="8"/>
      <c r="J328" s="8"/>
      <c r="K328" s="9"/>
      <c r="L328" s="1"/>
      <c r="M328" s="8"/>
      <c r="N328" s="1"/>
      <c r="O328" s="1"/>
      <c r="P328" s="9"/>
      <c r="Q328" s="1"/>
      <c r="R328" s="8"/>
      <c r="S328" s="10"/>
      <c r="T328" s="10"/>
      <c r="U328" s="10"/>
      <c r="V328" s="15"/>
      <c r="W328" s="15"/>
      <c r="X328" s="15"/>
      <c r="Y328" s="15"/>
      <c r="Z328" s="14"/>
      <c r="AA328" s="14"/>
      <c r="AB328" s="14"/>
      <c r="AC328" s="14"/>
      <c r="AD328" s="13"/>
      <c r="AE328" s="13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</row>
    <row r="329" spans="2:82" s="11" customFormat="1" x14ac:dyDescent="0.25">
      <c r="B329" s="1"/>
      <c r="C329" s="1"/>
      <c r="D329" s="1"/>
      <c r="E329" s="1"/>
      <c r="F329" s="1"/>
      <c r="G329" s="9"/>
      <c r="H329" s="1"/>
      <c r="I329" s="8"/>
      <c r="J329" s="8"/>
      <c r="K329" s="9"/>
      <c r="L329" s="1"/>
      <c r="M329" s="8"/>
      <c r="N329" s="1"/>
      <c r="O329" s="1"/>
      <c r="P329" s="9"/>
      <c r="Q329" s="1"/>
      <c r="R329" s="8"/>
      <c r="S329" s="10"/>
      <c r="T329" s="10"/>
      <c r="U329" s="10"/>
      <c r="V329" s="15"/>
      <c r="W329" s="15"/>
      <c r="X329" s="15"/>
      <c r="Y329" s="15"/>
      <c r="Z329" s="14"/>
      <c r="AA329" s="14"/>
      <c r="AB329" s="14"/>
      <c r="AC329" s="14"/>
      <c r="AD329" s="13"/>
      <c r="AE329" s="13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</row>
    <row r="330" spans="2:82" s="11" customFormat="1" x14ac:dyDescent="0.25">
      <c r="B330" s="1"/>
      <c r="C330" s="1"/>
      <c r="D330" s="1"/>
      <c r="E330" s="1"/>
      <c r="F330" s="1"/>
      <c r="G330" s="9"/>
      <c r="H330" s="1"/>
      <c r="I330" s="8"/>
      <c r="J330" s="8"/>
      <c r="K330" s="9"/>
      <c r="L330" s="1"/>
      <c r="M330" s="8"/>
      <c r="N330" s="1"/>
      <c r="O330" s="1"/>
      <c r="P330" s="9"/>
      <c r="Q330" s="1"/>
      <c r="R330" s="8"/>
      <c r="S330" s="10"/>
      <c r="T330" s="10"/>
      <c r="U330" s="10"/>
      <c r="V330" s="15"/>
      <c r="W330" s="15"/>
      <c r="X330" s="15"/>
      <c r="Y330" s="15"/>
      <c r="Z330" s="14"/>
      <c r="AA330" s="14"/>
      <c r="AB330" s="14"/>
      <c r="AC330" s="14"/>
      <c r="AD330" s="13"/>
      <c r="AE330" s="13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</row>
    <row r="331" spans="2:82" s="11" customFormat="1" x14ac:dyDescent="0.25">
      <c r="B331" s="1"/>
      <c r="C331" s="1"/>
      <c r="D331" s="1"/>
      <c r="E331" s="1"/>
      <c r="F331" s="1"/>
      <c r="G331" s="9"/>
      <c r="H331" s="1"/>
      <c r="I331" s="8"/>
      <c r="J331" s="8"/>
      <c r="K331" s="9"/>
      <c r="L331" s="1"/>
      <c r="M331" s="8"/>
      <c r="N331" s="1"/>
      <c r="O331" s="1"/>
      <c r="P331" s="9"/>
      <c r="Q331" s="1"/>
      <c r="R331" s="8"/>
      <c r="S331" s="10"/>
      <c r="T331" s="10"/>
      <c r="U331" s="10"/>
      <c r="V331" s="15"/>
      <c r="W331" s="15"/>
      <c r="X331" s="15"/>
      <c r="Y331" s="15"/>
      <c r="Z331" s="14"/>
      <c r="AA331" s="14"/>
      <c r="AB331" s="14"/>
      <c r="AC331" s="14"/>
      <c r="AD331" s="13"/>
      <c r="AE331" s="13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</row>
    <row r="332" spans="2:82" s="11" customFormat="1" x14ac:dyDescent="0.25">
      <c r="B332" s="1"/>
      <c r="C332" s="1"/>
      <c r="D332" s="1"/>
      <c r="E332" s="1"/>
      <c r="F332" s="1"/>
      <c r="G332" s="9"/>
      <c r="H332" s="1"/>
      <c r="I332" s="8"/>
      <c r="J332" s="8"/>
      <c r="K332" s="9"/>
      <c r="L332" s="1"/>
      <c r="M332" s="8"/>
      <c r="N332" s="1"/>
      <c r="O332" s="1"/>
      <c r="P332" s="9"/>
      <c r="Q332" s="1"/>
      <c r="R332" s="8"/>
      <c r="S332" s="10"/>
      <c r="T332" s="10"/>
      <c r="U332" s="10"/>
      <c r="V332" s="15"/>
      <c r="W332" s="15"/>
      <c r="X332" s="15"/>
      <c r="Y332" s="15"/>
      <c r="Z332" s="14"/>
      <c r="AA332" s="14"/>
      <c r="AB332" s="14"/>
      <c r="AC332" s="14"/>
      <c r="AD332" s="13"/>
      <c r="AE332" s="13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</row>
    <row r="333" spans="2:82" s="11" customFormat="1" x14ac:dyDescent="0.25">
      <c r="B333" s="1"/>
      <c r="C333" s="1"/>
      <c r="D333" s="1"/>
      <c r="E333" s="1"/>
      <c r="F333" s="1"/>
      <c r="G333" s="9"/>
      <c r="H333" s="1"/>
      <c r="I333" s="8"/>
      <c r="J333" s="8"/>
      <c r="K333" s="9"/>
      <c r="L333" s="1"/>
      <c r="M333" s="8"/>
      <c r="N333" s="1"/>
      <c r="O333" s="1"/>
      <c r="P333" s="9"/>
      <c r="Q333" s="1"/>
      <c r="R333" s="8"/>
      <c r="S333" s="10"/>
      <c r="T333" s="10"/>
      <c r="U333" s="10"/>
      <c r="V333" s="6"/>
      <c r="W333" s="6"/>
      <c r="X333" s="6"/>
      <c r="Y333" s="6"/>
      <c r="Z333" s="5"/>
      <c r="AA333" s="5"/>
      <c r="AB333" s="5"/>
      <c r="AC333" s="5"/>
      <c r="AD333" s="4"/>
      <c r="AE333" s="4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</row>
    <row r="334" spans="2:82" s="11" customFormat="1" x14ac:dyDescent="0.25">
      <c r="B334" s="1"/>
      <c r="C334" s="1"/>
      <c r="D334" s="1"/>
      <c r="E334" s="1"/>
      <c r="F334" s="1"/>
      <c r="G334" s="9"/>
      <c r="H334" s="1"/>
      <c r="I334" s="8"/>
      <c r="J334" s="8"/>
      <c r="K334" s="9"/>
      <c r="L334" s="1"/>
      <c r="M334" s="8"/>
      <c r="N334" s="1"/>
      <c r="O334" s="1"/>
      <c r="P334" s="9"/>
      <c r="Q334" s="1"/>
      <c r="R334" s="8"/>
      <c r="S334" s="10"/>
      <c r="T334" s="10"/>
      <c r="U334" s="10"/>
      <c r="V334" s="6"/>
      <c r="W334" s="6"/>
      <c r="X334" s="6"/>
      <c r="Y334" s="6"/>
      <c r="Z334" s="5"/>
      <c r="AA334" s="5"/>
      <c r="AB334" s="5"/>
      <c r="AC334" s="5"/>
      <c r="AD334" s="4"/>
      <c r="AE334" s="4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</row>
    <row r="335" spans="2:82" s="11" customFormat="1" x14ac:dyDescent="0.25">
      <c r="B335" s="1"/>
      <c r="C335" s="1"/>
      <c r="D335" s="1"/>
      <c r="E335" s="1"/>
      <c r="F335" s="1"/>
      <c r="G335" s="9"/>
      <c r="H335" s="1"/>
      <c r="I335" s="8"/>
      <c r="J335" s="8"/>
      <c r="K335" s="9"/>
      <c r="L335" s="1"/>
      <c r="M335" s="8"/>
      <c r="N335" s="1"/>
      <c r="O335" s="1"/>
      <c r="P335" s="9"/>
      <c r="Q335" s="1"/>
      <c r="R335" s="8"/>
      <c r="S335" s="10"/>
      <c r="T335" s="10"/>
      <c r="U335" s="10"/>
      <c r="V335" s="15"/>
      <c r="W335" s="15"/>
      <c r="X335" s="15"/>
      <c r="Y335" s="15"/>
      <c r="Z335" s="14"/>
      <c r="AA335" s="14"/>
      <c r="AB335" s="14"/>
      <c r="AC335" s="14"/>
      <c r="AD335" s="13"/>
      <c r="AE335" s="13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</row>
    <row r="336" spans="2:82" s="11" customFormat="1" x14ac:dyDescent="0.25">
      <c r="B336" s="1"/>
      <c r="C336" s="1"/>
      <c r="D336" s="1"/>
      <c r="E336" s="1"/>
      <c r="F336" s="1"/>
      <c r="G336" s="9"/>
      <c r="H336" s="1"/>
      <c r="I336" s="8"/>
      <c r="J336" s="8"/>
      <c r="K336" s="9"/>
      <c r="L336" s="1"/>
      <c r="M336" s="8"/>
      <c r="N336" s="1"/>
      <c r="O336" s="1"/>
      <c r="P336" s="9"/>
      <c r="Q336" s="1"/>
      <c r="R336" s="8"/>
      <c r="S336" s="10"/>
      <c r="T336" s="10"/>
      <c r="U336" s="10"/>
      <c r="V336" s="15"/>
      <c r="W336" s="15"/>
      <c r="X336" s="15"/>
      <c r="Y336" s="15"/>
      <c r="Z336" s="14"/>
      <c r="AA336" s="14"/>
      <c r="AB336" s="14"/>
      <c r="AC336" s="14"/>
      <c r="AD336" s="13"/>
      <c r="AE336" s="13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</row>
    <row r="337" spans="2:82" s="11" customFormat="1" x14ac:dyDescent="0.25">
      <c r="B337" s="1"/>
      <c r="C337" s="1"/>
      <c r="D337" s="1"/>
      <c r="E337" s="1"/>
      <c r="F337" s="1"/>
      <c r="G337" s="9"/>
      <c r="H337" s="1"/>
      <c r="I337" s="8"/>
      <c r="J337" s="8"/>
      <c r="K337" s="9"/>
      <c r="L337" s="1"/>
      <c r="M337" s="8"/>
      <c r="N337" s="1"/>
      <c r="O337" s="1"/>
      <c r="P337" s="9"/>
      <c r="Q337" s="1"/>
      <c r="R337" s="8"/>
      <c r="S337" s="10"/>
      <c r="T337" s="10"/>
      <c r="U337" s="10"/>
      <c r="V337" s="15"/>
      <c r="W337" s="15"/>
      <c r="X337" s="15"/>
      <c r="Y337" s="15"/>
      <c r="Z337" s="14"/>
      <c r="AA337" s="14"/>
      <c r="AB337" s="14"/>
      <c r="AC337" s="14"/>
      <c r="AD337" s="13"/>
      <c r="AE337" s="13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</row>
    <row r="338" spans="2:82" s="11" customFormat="1" x14ac:dyDescent="0.25">
      <c r="B338" s="1"/>
      <c r="C338" s="1"/>
      <c r="D338" s="1"/>
      <c r="E338" s="1"/>
      <c r="F338" s="1"/>
      <c r="G338" s="9"/>
      <c r="H338" s="1"/>
      <c r="I338" s="8"/>
      <c r="J338" s="8"/>
      <c r="K338" s="9"/>
      <c r="L338" s="1"/>
      <c r="M338" s="8"/>
      <c r="N338" s="1"/>
      <c r="O338" s="1"/>
      <c r="P338" s="9"/>
      <c r="Q338" s="1"/>
      <c r="R338" s="8"/>
      <c r="S338" s="10"/>
      <c r="T338" s="10"/>
      <c r="U338" s="10"/>
      <c r="V338" s="15"/>
      <c r="W338" s="15"/>
      <c r="X338" s="15"/>
      <c r="Y338" s="15"/>
      <c r="Z338" s="14"/>
      <c r="AA338" s="14"/>
      <c r="AB338" s="14"/>
      <c r="AC338" s="14"/>
      <c r="AD338" s="13"/>
      <c r="AE338" s="13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</row>
    <row r="339" spans="2:82" s="11" customFormat="1" x14ac:dyDescent="0.25">
      <c r="B339" s="1"/>
      <c r="C339" s="1"/>
      <c r="D339" s="1"/>
      <c r="E339" s="1"/>
      <c r="F339" s="1"/>
      <c r="G339" s="9"/>
      <c r="H339" s="1"/>
      <c r="I339" s="8"/>
      <c r="J339" s="8"/>
      <c r="K339" s="9"/>
      <c r="L339" s="1"/>
      <c r="M339" s="8"/>
      <c r="N339" s="1"/>
      <c r="O339" s="1"/>
      <c r="P339" s="9"/>
      <c r="Q339" s="1"/>
      <c r="R339" s="8"/>
      <c r="S339" s="10"/>
      <c r="T339" s="10"/>
      <c r="U339" s="10"/>
      <c r="V339" s="15"/>
      <c r="W339" s="15"/>
      <c r="X339" s="15"/>
      <c r="Y339" s="15"/>
      <c r="Z339" s="14"/>
      <c r="AA339" s="14"/>
      <c r="AB339" s="14"/>
      <c r="AC339" s="14"/>
      <c r="AD339" s="13"/>
      <c r="AE339" s="13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</row>
    <row r="340" spans="2:82" s="11" customFormat="1" x14ac:dyDescent="0.25">
      <c r="B340" s="1"/>
      <c r="C340" s="1"/>
      <c r="D340" s="1"/>
      <c r="E340" s="1"/>
      <c r="F340" s="1"/>
      <c r="G340" s="9"/>
      <c r="H340" s="1"/>
      <c r="I340" s="8"/>
      <c r="J340" s="8"/>
      <c r="K340" s="9"/>
      <c r="L340" s="1"/>
      <c r="M340" s="8"/>
      <c r="N340" s="1"/>
      <c r="O340" s="1"/>
      <c r="P340" s="9"/>
      <c r="Q340" s="1"/>
      <c r="R340" s="8"/>
      <c r="S340" s="10"/>
      <c r="T340" s="10"/>
      <c r="U340" s="10"/>
      <c r="V340" s="15"/>
      <c r="W340" s="15"/>
      <c r="X340" s="15"/>
      <c r="Y340" s="15"/>
      <c r="Z340" s="14"/>
      <c r="AA340" s="14"/>
      <c r="AB340" s="14"/>
      <c r="AC340" s="14"/>
      <c r="AD340" s="13"/>
      <c r="AE340" s="13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</row>
    <row r="341" spans="2:82" s="11" customFormat="1" x14ac:dyDescent="0.25">
      <c r="B341" s="1"/>
      <c r="C341" s="1"/>
      <c r="D341" s="1"/>
      <c r="E341" s="1"/>
      <c r="F341" s="1"/>
      <c r="G341" s="9"/>
      <c r="H341" s="1"/>
      <c r="I341" s="8"/>
      <c r="J341" s="8"/>
      <c r="K341" s="9"/>
      <c r="L341" s="1"/>
      <c r="M341" s="8"/>
      <c r="N341" s="1"/>
      <c r="O341" s="1"/>
      <c r="P341" s="9"/>
      <c r="Q341" s="1"/>
      <c r="R341" s="8"/>
      <c r="S341" s="10"/>
      <c r="T341" s="10"/>
      <c r="U341" s="10"/>
      <c r="V341" s="15"/>
      <c r="W341" s="15"/>
      <c r="X341" s="15"/>
      <c r="Y341" s="15"/>
      <c r="Z341" s="14"/>
      <c r="AA341" s="14"/>
      <c r="AB341" s="14"/>
      <c r="AC341" s="14"/>
      <c r="AD341" s="13"/>
      <c r="AE341" s="13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</row>
    <row r="342" spans="2:82" s="11" customFormat="1" x14ac:dyDescent="0.25">
      <c r="B342" s="1"/>
      <c r="C342" s="1"/>
      <c r="D342" s="1"/>
      <c r="E342" s="1"/>
      <c r="F342" s="1"/>
      <c r="G342" s="9"/>
      <c r="H342" s="1"/>
      <c r="I342" s="8"/>
      <c r="J342" s="8"/>
      <c r="K342" s="9"/>
      <c r="L342" s="1"/>
      <c r="M342" s="8"/>
      <c r="N342" s="1"/>
      <c r="O342" s="1"/>
      <c r="P342" s="9"/>
      <c r="Q342" s="1"/>
      <c r="R342" s="8"/>
      <c r="S342" s="10"/>
      <c r="T342" s="10"/>
      <c r="U342" s="10"/>
      <c r="V342" s="15"/>
      <c r="W342" s="15"/>
      <c r="X342" s="15"/>
      <c r="Y342" s="15"/>
      <c r="Z342" s="14"/>
      <c r="AA342" s="14"/>
      <c r="AB342" s="14"/>
      <c r="AC342" s="14"/>
      <c r="AD342" s="13"/>
      <c r="AE342" s="13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</row>
    <row r="343" spans="2:82" s="11" customFormat="1" x14ac:dyDescent="0.25">
      <c r="B343" s="1"/>
      <c r="C343" s="1"/>
      <c r="D343" s="1"/>
      <c r="E343" s="1"/>
      <c r="F343" s="1"/>
      <c r="G343" s="9"/>
      <c r="H343" s="1"/>
      <c r="I343" s="8"/>
      <c r="J343" s="8"/>
      <c r="K343" s="9"/>
      <c r="L343" s="1"/>
      <c r="M343" s="8"/>
      <c r="N343" s="1"/>
      <c r="O343" s="1"/>
      <c r="P343" s="9"/>
      <c r="Q343" s="1"/>
      <c r="R343" s="8"/>
      <c r="S343" s="10"/>
      <c r="T343" s="10"/>
      <c r="U343" s="10"/>
      <c r="V343" s="15"/>
      <c r="W343" s="15"/>
      <c r="X343" s="15"/>
      <c r="Y343" s="15"/>
      <c r="Z343" s="14"/>
      <c r="AA343" s="14"/>
      <c r="AB343" s="14"/>
      <c r="AC343" s="14"/>
      <c r="AD343" s="13"/>
      <c r="AE343" s="13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</row>
    <row r="344" spans="2:82" s="11" customFormat="1" x14ac:dyDescent="0.25">
      <c r="B344" s="1"/>
      <c r="C344" s="1"/>
      <c r="D344" s="1"/>
      <c r="E344" s="1"/>
      <c r="F344" s="1"/>
      <c r="G344" s="9"/>
      <c r="H344" s="1"/>
      <c r="I344" s="8"/>
      <c r="J344" s="8"/>
      <c r="K344" s="9"/>
      <c r="L344" s="1"/>
      <c r="M344" s="8"/>
      <c r="N344" s="1"/>
      <c r="O344" s="1"/>
      <c r="P344" s="9"/>
      <c r="Q344" s="1"/>
      <c r="R344" s="8"/>
      <c r="S344" s="10"/>
      <c r="T344" s="10"/>
      <c r="U344" s="10"/>
      <c r="V344" s="15"/>
      <c r="W344" s="15"/>
      <c r="X344" s="15"/>
      <c r="Y344" s="15"/>
      <c r="Z344" s="14"/>
      <c r="AA344" s="14"/>
      <c r="AB344" s="14"/>
      <c r="AC344" s="14"/>
      <c r="AD344" s="13"/>
      <c r="AE344" s="13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</row>
    <row r="345" spans="2:82" s="11" customFormat="1" x14ac:dyDescent="0.25">
      <c r="B345" s="1"/>
      <c r="C345" s="1"/>
      <c r="D345" s="1"/>
      <c r="E345" s="1"/>
      <c r="F345" s="1"/>
      <c r="G345" s="9"/>
      <c r="H345" s="1"/>
      <c r="I345" s="8"/>
      <c r="J345" s="8"/>
      <c r="K345" s="9"/>
      <c r="L345" s="1"/>
      <c r="M345" s="8"/>
      <c r="N345" s="1"/>
      <c r="O345" s="1"/>
      <c r="P345" s="9"/>
      <c r="Q345" s="1"/>
      <c r="R345" s="8"/>
      <c r="S345" s="10"/>
      <c r="T345" s="10"/>
      <c r="U345" s="10"/>
      <c r="V345" s="6"/>
      <c r="W345" s="6"/>
      <c r="X345" s="6"/>
      <c r="Y345" s="6"/>
      <c r="Z345" s="5"/>
      <c r="AA345" s="5"/>
      <c r="AB345" s="5"/>
      <c r="AC345" s="5"/>
      <c r="AD345" s="4"/>
      <c r="AE345" s="4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</row>
    <row r="346" spans="2:82" s="11" customFormat="1" x14ac:dyDescent="0.25">
      <c r="B346" s="1"/>
      <c r="C346" s="1"/>
      <c r="D346" s="1"/>
      <c r="E346" s="1"/>
      <c r="F346" s="1"/>
      <c r="G346" s="9"/>
      <c r="H346" s="1"/>
      <c r="I346" s="8"/>
      <c r="J346" s="8"/>
      <c r="K346" s="9"/>
      <c r="L346" s="1"/>
      <c r="M346" s="8"/>
      <c r="N346" s="1"/>
      <c r="O346" s="1"/>
      <c r="P346" s="9"/>
      <c r="Q346" s="1"/>
      <c r="R346" s="8"/>
      <c r="S346" s="10"/>
      <c r="T346" s="10"/>
      <c r="U346" s="10"/>
      <c r="V346" s="6"/>
      <c r="W346" s="6"/>
      <c r="X346" s="6"/>
      <c r="Y346" s="6"/>
      <c r="Z346" s="5"/>
      <c r="AA346" s="5"/>
      <c r="AB346" s="5"/>
      <c r="AC346" s="5"/>
      <c r="AD346" s="4"/>
      <c r="AE346" s="4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</row>
    <row r="347" spans="2:82" s="11" customFormat="1" x14ac:dyDescent="0.25">
      <c r="B347" s="1"/>
      <c r="C347" s="1"/>
      <c r="D347" s="1"/>
      <c r="E347" s="1"/>
      <c r="F347" s="1"/>
      <c r="G347" s="9"/>
      <c r="H347" s="1"/>
      <c r="I347" s="8"/>
      <c r="J347" s="8"/>
      <c r="K347" s="9"/>
      <c r="L347" s="1"/>
      <c r="M347" s="8"/>
      <c r="N347" s="1"/>
      <c r="O347" s="1"/>
      <c r="P347" s="9"/>
      <c r="Q347" s="1"/>
      <c r="R347" s="8"/>
      <c r="S347" s="10"/>
      <c r="T347" s="10"/>
      <c r="U347" s="10"/>
      <c r="V347" s="15"/>
      <c r="W347" s="15"/>
      <c r="X347" s="15"/>
      <c r="Y347" s="15"/>
      <c r="Z347" s="14"/>
      <c r="AA347" s="14"/>
      <c r="AB347" s="14"/>
      <c r="AC347" s="14"/>
      <c r="AD347" s="13"/>
      <c r="AE347" s="13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</row>
    <row r="348" spans="2:82" s="11" customFormat="1" x14ac:dyDescent="0.25">
      <c r="B348" s="1"/>
      <c r="C348" s="1"/>
      <c r="D348" s="1"/>
      <c r="E348" s="1"/>
      <c r="F348" s="1"/>
      <c r="G348" s="9"/>
      <c r="H348" s="1"/>
      <c r="I348" s="8"/>
      <c r="J348" s="8"/>
      <c r="K348" s="9"/>
      <c r="L348" s="1"/>
      <c r="M348" s="8"/>
      <c r="N348" s="1"/>
      <c r="O348" s="1"/>
      <c r="P348" s="9"/>
      <c r="Q348" s="1"/>
      <c r="R348" s="8"/>
      <c r="S348" s="10"/>
      <c r="T348" s="10"/>
      <c r="U348" s="10"/>
      <c r="V348" s="15"/>
      <c r="W348" s="15"/>
      <c r="X348" s="15"/>
      <c r="Y348" s="15"/>
      <c r="Z348" s="14"/>
      <c r="AA348" s="14"/>
      <c r="AB348" s="14"/>
      <c r="AC348" s="14"/>
      <c r="AD348" s="13"/>
      <c r="AE348" s="13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</row>
    <row r="349" spans="2:82" s="11" customFormat="1" x14ac:dyDescent="0.25">
      <c r="B349" s="1"/>
      <c r="C349" s="1"/>
      <c r="D349" s="1"/>
      <c r="E349" s="1"/>
      <c r="F349" s="1"/>
      <c r="G349" s="9"/>
      <c r="H349" s="1"/>
      <c r="I349" s="8"/>
      <c r="J349" s="8"/>
      <c r="K349" s="9"/>
      <c r="L349" s="1"/>
      <c r="M349" s="8"/>
      <c r="N349" s="1"/>
      <c r="O349" s="1"/>
      <c r="P349" s="9"/>
      <c r="Q349" s="1"/>
      <c r="R349" s="8"/>
      <c r="S349" s="10"/>
      <c r="T349" s="10"/>
      <c r="U349" s="10"/>
      <c r="V349" s="15"/>
      <c r="W349" s="15"/>
      <c r="X349" s="15"/>
      <c r="Y349" s="15"/>
      <c r="Z349" s="14"/>
      <c r="AA349" s="14"/>
      <c r="AB349" s="14"/>
      <c r="AC349" s="14"/>
      <c r="AD349" s="13"/>
      <c r="AE349" s="13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</row>
    <row r="350" spans="2:82" s="11" customFormat="1" x14ac:dyDescent="0.25">
      <c r="B350" s="1"/>
      <c r="C350" s="1"/>
      <c r="D350" s="1"/>
      <c r="E350" s="1"/>
      <c r="F350" s="1"/>
      <c r="G350" s="9"/>
      <c r="H350" s="1"/>
      <c r="I350" s="8"/>
      <c r="J350" s="8"/>
      <c r="K350" s="9"/>
      <c r="L350" s="1"/>
      <c r="M350" s="8"/>
      <c r="N350" s="1"/>
      <c r="O350" s="1"/>
      <c r="P350" s="9"/>
      <c r="Q350" s="1"/>
      <c r="R350" s="8"/>
      <c r="S350" s="10"/>
      <c r="T350" s="10"/>
      <c r="U350" s="10"/>
      <c r="V350" s="15"/>
      <c r="W350" s="15"/>
      <c r="X350" s="15"/>
      <c r="Y350" s="15"/>
      <c r="Z350" s="14"/>
      <c r="AA350" s="14"/>
      <c r="AB350" s="14"/>
      <c r="AC350" s="14"/>
      <c r="AD350" s="13"/>
      <c r="AE350" s="13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</row>
    <row r="351" spans="2:82" s="11" customFormat="1" x14ac:dyDescent="0.25">
      <c r="B351" s="1"/>
      <c r="C351" s="1"/>
      <c r="D351" s="1"/>
      <c r="E351" s="1"/>
      <c r="F351" s="1"/>
      <c r="G351" s="9"/>
      <c r="H351" s="1"/>
      <c r="I351" s="8"/>
      <c r="J351" s="8"/>
      <c r="K351" s="9"/>
      <c r="L351" s="1"/>
      <c r="M351" s="8"/>
      <c r="N351" s="1"/>
      <c r="O351" s="1"/>
      <c r="P351" s="9"/>
      <c r="Q351" s="1"/>
      <c r="R351" s="8"/>
      <c r="S351" s="10"/>
      <c r="T351" s="10"/>
      <c r="U351" s="10"/>
      <c r="V351" s="15"/>
      <c r="W351" s="15"/>
      <c r="X351" s="15"/>
      <c r="Y351" s="15"/>
      <c r="Z351" s="14"/>
      <c r="AA351" s="14"/>
      <c r="AB351" s="14"/>
      <c r="AC351" s="14"/>
      <c r="AD351" s="13"/>
      <c r="AE351" s="13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</row>
    <row r="352" spans="2:82" s="11" customFormat="1" x14ac:dyDescent="0.25">
      <c r="B352" s="1"/>
      <c r="C352" s="1"/>
      <c r="D352" s="1"/>
      <c r="E352" s="1"/>
      <c r="F352" s="1"/>
      <c r="G352" s="9"/>
      <c r="H352" s="1"/>
      <c r="I352" s="8"/>
      <c r="J352" s="8"/>
      <c r="K352" s="9"/>
      <c r="L352" s="1"/>
      <c r="M352" s="8"/>
      <c r="N352" s="1"/>
      <c r="O352" s="1"/>
      <c r="P352" s="9"/>
      <c r="Q352" s="1"/>
      <c r="R352" s="8"/>
      <c r="S352" s="10"/>
      <c r="T352" s="10"/>
      <c r="U352" s="10"/>
      <c r="V352" s="15"/>
      <c r="W352" s="15"/>
      <c r="X352" s="15"/>
      <c r="Y352" s="15"/>
      <c r="Z352" s="14"/>
      <c r="AA352" s="14"/>
      <c r="AB352" s="14"/>
      <c r="AC352" s="14"/>
      <c r="AD352" s="13"/>
      <c r="AE352" s="13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</row>
    <row r="353" spans="2:82" s="11" customFormat="1" x14ac:dyDescent="0.25">
      <c r="B353" s="1"/>
      <c r="C353" s="1"/>
      <c r="D353" s="1"/>
      <c r="E353" s="1"/>
      <c r="F353" s="1"/>
      <c r="G353" s="9"/>
      <c r="H353" s="1"/>
      <c r="I353" s="8"/>
      <c r="J353" s="8"/>
      <c r="K353" s="9"/>
      <c r="L353" s="1"/>
      <c r="M353" s="8"/>
      <c r="N353" s="1"/>
      <c r="O353" s="1"/>
      <c r="P353" s="9"/>
      <c r="Q353" s="1"/>
      <c r="R353" s="8"/>
      <c r="S353" s="10"/>
      <c r="T353" s="10"/>
      <c r="U353" s="10"/>
      <c r="V353" s="15"/>
      <c r="W353" s="15"/>
      <c r="X353" s="15"/>
      <c r="Y353" s="15"/>
      <c r="Z353" s="14"/>
      <c r="AA353" s="14"/>
      <c r="AB353" s="14"/>
      <c r="AC353" s="14"/>
      <c r="AD353" s="13"/>
      <c r="AE353" s="13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</row>
    <row r="354" spans="2:82" s="11" customFormat="1" x14ac:dyDescent="0.25">
      <c r="B354" s="1"/>
      <c r="C354" s="1"/>
      <c r="D354" s="1"/>
      <c r="E354" s="1"/>
      <c r="F354" s="1"/>
      <c r="G354" s="9"/>
      <c r="H354" s="1"/>
      <c r="I354" s="8"/>
      <c r="J354" s="8"/>
      <c r="K354" s="9"/>
      <c r="L354" s="1"/>
      <c r="M354" s="8"/>
      <c r="N354" s="1"/>
      <c r="O354" s="1"/>
      <c r="P354" s="9"/>
      <c r="Q354" s="1"/>
      <c r="R354" s="8"/>
      <c r="S354" s="10"/>
      <c r="T354" s="10"/>
      <c r="U354" s="10"/>
      <c r="V354" s="15"/>
      <c r="W354" s="15"/>
      <c r="X354" s="15"/>
      <c r="Y354" s="15"/>
      <c r="Z354" s="14"/>
      <c r="AA354" s="14"/>
      <c r="AB354" s="14"/>
      <c r="AC354" s="14"/>
      <c r="AD354" s="13"/>
      <c r="AE354" s="13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</row>
    <row r="355" spans="2:82" s="11" customFormat="1" x14ac:dyDescent="0.25">
      <c r="B355" s="1"/>
      <c r="C355" s="1"/>
      <c r="D355" s="1"/>
      <c r="E355" s="1"/>
      <c r="F355" s="1"/>
      <c r="G355" s="9"/>
      <c r="H355" s="1"/>
      <c r="I355" s="8"/>
      <c r="J355" s="8"/>
      <c r="K355" s="9"/>
      <c r="L355" s="1"/>
      <c r="M355" s="8"/>
      <c r="N355" s="1"/>
      <c r="O355" s="1"/>
      <c r="P355" s="9"/>
      <c r="Q355" s="1"/>
      <c r="R355" s="8"/>
      <c r="S355" s="10"/>
      <c r="T355" s="10"/>
      <c r="U355" s="10"/>
      <c r="V355" s="15"/>
      <c r="W355" s="15"/>
      <c r="X355" s="15"/>
      <c r="Y355" s="15"/>
      <c r="Z355" s="14"/>
      <c r="AA355" s="14"/>
      <c r="AB355" s="14"/>
      <c r="AC355" s="14"/>
      <c r="AD355" s="13"/>
      <c r="AE355" s="13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</row>
    <row r="356" spans="2:82" s="11" customFormat="1" x14ac:dyDescent="0.25">
      <c r="B356" s="1"/>
      <c r="C356" s="1"/>
      <c r="D356" s="1"/>
      <c r="E356" s="1"/>
      <c r="F356" s="1"/>
      <c r="G356" s="9"/>
      <c r="H356" s="1"/>
      <c r="I356" s="8"/>
      <c r="J356" s="8"/>
      <c r="K356" s="9"/>
      <c r="L356" s="1"/>
      <c r="M356" s="8"/>
      <c r="N356" s="1"/>
      <c r="O356" s="1"/>
      <c r="P356" s="9"/>
      <c r="Q356" s="1"/>
      <c r="R356" s="8"/>
      <c r="S356" s="10"/>
      <c r="T356" s="10"/>
      <c r="U356" s="10"/>
      <c r="V356" s="15"/>
      <c r="W356" s="15"/>
      <c r="X356" s="15"/>
      <c r="Y356" s="15"/>
      <c r="Z356" s="14"/>
      <c r="AA356" s="14"/>
      <c r="AB356" s="14"/>
      <c r="AC356" s="14"/>
      <c r="AD356" s="13"/>
      <c r="AE356" s="13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</row>
    <row r="357" spans="2:82" s="11" customFormat="1" x14ac:dyDescent="0.25">
      <c r="B357" s="1"/>
      <c r="C357" s="1"/>
      <c r="D357" s="1"/>
      <c r="E357" s="1"/>
      <c r="F357" s="1"/>
      <c r="G357" s="9"/>
      <c r="H357" s="1"/>
      <c r="I357" s="8"/>
      <c r="J357" s="8"/>
      <c r="K357" s="9"/>
      <c r="L357" s="1"/>
      <c r="M357" s="8"/>
      <c r="N357" s="1"/>
      <c r="O357" s="1"/>
      <c r="P357" s="9"/>
      <c r="Q357" s="1"/>
      <c r="R357" s="8"/>
      <c r="S357" s="10"/>
      <c r="T357" s="10"/>
      <c r="U357" s="10"/>
      <c r="V357" s="6"/>
      <c r="W357" s="6"/>
      <c r="X357" s="6"/>
      <c r="Y357" s="6"/>
      <c r="Z357" s="5"/>
      <c r="AA357" s="5"/>
      <c r="AB357" s="5"/>
      <c r="AC357" s="5"/>
      <c r="AD357" s="4"/>
      <c r="AE357" s="4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</row>
    <row r="358" spans="2:82" s="11" customFormat="1" x14ac:dyDescent="0.25">
      <c r="B358" s="1"/>
      <c r="C358" s="1"/>
      <c r="D358" s="1"/>
      <c r="E358" s="1"/>
      <c r="F358" s="1"/>
      <c r="G358" s="9"/>
      <c r="H358" s="1"/>
      <c r="I358" s="8"/>
      <c r="J358" s="8"/>
      <c r="K358" s="9"/>
      <c r="L358" s="1"/>
      <c r="M358" s="8"/>
      <c r="N358" s="1"/>
      <c r="O358" s="1"/>
      <c r="P358" s="9"/>
      <c r="Q358" s="1"/>
      <c r="R358" s="8"/>
      <c r="S358" s="10"/>
      <c r="T358" s="10"/>
      <c r="U358" s="10"/>
      <c r="V358" s="6"/>
      <c r="W358" s="6"/>
      <c r="X358" s="6"/>
      <c r="Y358" s="6"/>
      <c r="Z358" s="5"/>
      <c r="AA358" s="5"/>
      <c r="AB358" s="5"/>
      <c r="AC358" s="5"/>
      <c r="AD358" s="4"/>
      <c r="AE358" s="4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</row>
    <row r="359" spans="2:82" s="11" customFormat="1" x14ac:dyDescent="0.25">
      <c r="B359" s="1"/>
      <c r="C359" s="1"/>
      <c r="D359" s="1"/>
      <c r="E359" s="1"/>
      <c r="F359" s="1"/>
      <c r="G359" s="9"/>
      <c r="H359" s="1"/>
      <c r="I359" s="8"/>
      <c r="J359" s="8"/>
      <c r="K359" s="9"/>
      <c r="L359" s="1"/>
      <c r="M359" s="8"/>
      <c r="N359" s="1"/>
      <c r="O359" s="1"/>
      <c r="P359" s="9"/>
      <c r="Q359" s="1"/>
      <c r="R359" s="8"/>
      <c r="S359" s="10"/>
      <c r="T359" s="10"/>
      <c r="U359" s="10"/>
      <c r="V359" s="15"/>
      <c r="W359" s="15"/>
      <c r="X359" s="15"/>
      <c r="Y359" s="15"/>
      <c r="Z359" s="14"/>
      <c r="AA359" s="14"/>
      <c r="AB359" s="14"/>
      <c r="AC359" s="14"/>
      <c r="AD359" s="13"/>
      <c r="AE359" s="13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</row>
    <row r="360" spans="2:82" s="11" customFormat="1" x14ac:dyDescent="0.25">
      <c r="B360" s="1"/>
      <c r="C360" s="1"/>
      <c r="D360" s="1"/>
      <c r="E360" s="1"/>
      <c r="F360" s="1"/>
      <c r="G360" s="9"/>
      <c r="H360" s="1"/>
      <c r="I360" s="8"/>
      <c r="J360" s="8"/>
      <c r="K360" s="9"/>
      <c r="L360" s="1"/>
      <c r="M360" s="8"/>
      <c r="N360" s="1"/>
      <c r="O360" s="1"/>
      <c r="P360" s="9"/>
      <c r="Q360" s="1"/>
      <c r="R360" s="8"/>
      <c r="S360" s="10"/>
      <c r="T360" s="10"/>
      <c r="U360" s="10"/>
      <c r="V360" s="15"/>
      <c r="W360" s="15"/>
      <c r="X360" s="15"/>
      <c r="Y360" s="15"/>
      <c r="Z360" s="14"/>
      <c r="AA360" s="14"/>
      <c r="AB360" s="14"/>
      <c r="AC360" s="14"/>
      <c r="AD360" s="13"/>
      <c r="AE360" s="13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</row>
    <row r="361" spans="2:82" s="11" customFormat="1" x14ac:dyDescent="0.25">
      <c r="B361" s="1"/>
      <c r="C361" s="1"/>
      <c r="D361" s="1"/>
      <c r="E361" s="1"/>
      <c r="F361" s="1"/>
      <c r="G361" s="9"/>
      <c r="H361" s="1"/>
      <c r="I361" s="8"/>
      <c r="J361" s="8"/>
      <c r="K361" s="9"/>
      <c r="L361" s="1"/>
      <c r="M361" s="8"/>
      <c r="N361" s="1"/>
      <c r="O361" s="1"/>
      <c r="P361" s="9"/>
      <c r="Q361" s="1"/>
      <c r="R361" s="8"/>
      <c r="S361" s="10"/>
      <c r="T361" s="10"/>
      <c r="U361" s="10"/>
      <c r="V361" s="15"/>
      <c r="W361" s="15"/>
      <c r="X361" s="15"/>
      <c r="Y361" s="15"/>
      <c r="Z361" s="14"/>
      <c r="AA361" s="14"/>
      <c r="AB361" s="14"/>
      <c r="AC361" s="14"/>
      <c r="AD361" s="13"/>
      <c r="AE361" s="13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</row>
    <row r="362" spans="2:82" s="11" customFormat="1" x14ac:dyDescent="0.25">
      <c r="B362" s="1"/>
      <c r="C362" s="1"/>
      <c r="D362" s="1"/>
      <c r="E362" s="1"/>
      <c r="F362" s="1"/>
      <c r="G362" s="9"/>
      <c r="H362" s="1"/>
      <c r="I362" s="8"/>
      <c r="J362" s="8"/>
      <c r="K362" s="9"/>
      <c r="L362" s="1"/>
      <c r="M362" s="8"/>
      <c r="N362" s="1"/>
      <c r="O362" s="1"/>
      <c r="P362" s="9"/>
      <c r="Q362" s="1"/>
      <c r="R362" s="8"/>
      <c r="S362" s="10"/>
      <c r="T362" s="10"/>
      <c r="U362" s="10"/>
      <c r="V362" s="15"/>
      <c r="W362" s="15"/>
      <c r="X362" s="15"/>
      <c r="Y362" s="15"/>
      <c r="Z362" s="14"/>
      <c r="AA362" s="14"/>
      <c r="AB362" s="14"/>
      <c r="AC362" s="14"/>
      <c r="AD362" s="13"/>
      <c r="AE362" s="13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</row>
    <row r="363" spans="2:82" s="11" customFormat="1" x14ac:dyDescent="0.25">
      <c r="B363" s="1"/>
      <c r="C363" s="1"/>
      <c r="D363" s="1"/>
      <c r="E363" s="1"/>
      <c r="F363" s="1"/>
      <c r="G363" s="9"/>
      <c r="H363" s="1"/>
      <c r="I363" s="8"/>
      <c r="J363" s="8"/>
      <c r="K363" s="9"/>
      <c r="L363" s="1"/>
      <c r="M363" s="8"/>
      <c r="N363" s="1"/>
      <c r="O363" s="1"/>
      <c r="P363" s="9"/>
      <c r="Q363" s="1"/>
      <c r="R363" s="8"/>
      <c r="S363" s="10"/>
      <c r="T363" s="10"/>
      <c r="U363" s="10"/>
      <c r="V363" s="15"/>
      <c r="W363" s="15"/>
      <c r="X363" s="15"/>
      <c r="Y363" s="15"/>
      <c r="Z363" s="14"/>
      <c r="AA363" s="14"/>
      <c r="AB363" s="14"/>
      <c r="AC363" s="14"/>
      <c r="AD363" s="13"/>
      <c r="AE363" s="13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</row>
    <row r="364" spans="2:82" s="11" customFormat="1" x14ac:dyDescent="0.25">
      <c r="B364" s="1"/>
      <c r="C364" s="1"/>
      <c r="D364" s="1"/>
      <c r="E364" s="1"/>
      <c r="F364" s="1"/>
      <c r="G364" s="9"/>
      <c r="H364" s="1"/>
      <c r="I364" s="8"/>
      <c r="J364" s="8"/>
      <c r="K364" s="9"/>
      <c r="L364" s="1"/>
      <c r="M364" s="8"/>
      <c r="N364" s="1"/>
      <c r="O364" s="1"/>
      <c r="P364" s="9"/>
      <c r="Q364" s="1"/>
      <c r="R364" s="8"/>
      <c r="S364" s="10"/>
      <c r="T364" s="10"/>
      <c r="U364" s="10"/>
      <c r="V364" s="15"/>
      <c r="W364" s="15"/>
      <c r="X364" s="15"/>
      <c r="Y364" s="15"/>
      <c r="Z364" s="14"/>
      <c r="AA364" s="14"/>
      <c r="AB364" s="14"/>
      <c r="AC364" s="14"/>
      <c r="AD364" s="13"/>
      <c r="AE364" s="13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</row>
    <row r="365" spans="2:82" s="11" customFormat="1" x14ac:dyDescent="0.25">
      <c r="B365" s="1"/>
      <c r="C365" s="1"/>
      <c r="D365" s="1"/>
      <c r="E365" s="1"/>
      <c r="F365" s="1"/>
      <c r="G365" s="9"/>
      <c r="H365" s="1"/>
      <c r="I365" s="8"/>
      <c r="J365" s="8"/>
      <c r="K365" s="9"/>
      <c r="L365" s="1"/>
      <c r="M365" s="8"/>
      <c r="N365" s="1"/>
      <c r="O365" s="1"/>
      <c r="P365" s="9"/>
      <c r="Q365" s="1"/>
      <c r="R365" s="8"/>
      <c r="S365" s="10"/>
      <c r="T365" s="10"/>
      <c r="U365" s="10"/>
      <c r="V365" s="15"/>
      <c r="W365" s="15"/>
      <c r="X365" s="15"/>
      <c r="Y365" s="15"/>
      <c r="Z365" s="14"/>
      <c r="AA365" s="14"/>
      <c r="AB365" s="14"/>
      <c r="AC365" s="14"/>
      <c r="AD365" s="13"/>
      <c r="AE365" s="13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</row>
    <row r="366" spans="2:82" s="11" customFormat="1" x14ac:dyDescent="0.25">
      <c r="B366" s="1"/>
      <c r="C366" s="1"/>
      <c r="D366" s="1"/>
      <c r="E366" s="1"/>
      <c r="F366" s="1"/>
      <c r="G366" s="9"/>
      <c r="H366" s="1"/>
      <c r="I366" s="8"/>
      <c r="J366" s="8"/>
      <c r="K366" s="9"/>
      <c r="L366" s="1"/>
      <c r="M366" s="8"/>
      <c r="N366" s="1"/>
      <c r="O366" s="1"/>
      <c r="P366" s="9"/>
      <c r="Q366" s="1"/>
      <c r="R366" s="8"/>
      <c r="S366" s="10"/>
      <c r="T366" s="10"/>
      <c r="U366" s="10"/>
      <c r="V366" s="15"/>
      <c r="W366" s="15"/>
      <c r="X366" s="15"/>
      <c r="Y366" s="15"/>
      <c r="Z366" s="14"/>
      <c r="AA366" s="14"/>
      <c r="AB366" s="14"/>
      <c r="AC366" s="14"/>
      <c r="AD366" s="13"/>
      <c r="AE366" s="13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</row>
    <row r="367" spans="2:82" s="11" customFormat="1" x14ac:dyDescent="0.25">
      <c r="B367" s="1"/>
      <c r="C367" s="1"/>
      <c r="D367" s="1"/>
      <c r="E367" s="1"/>
      <c r="F367" s="1"/>
      <c r="G367" s="9"/>
      <c r="H367" s="1"/>
      <c r="I367" s="8"/>
      <c r="J367" s="8"/>
      <c r="K367" s="9"/>
      <c r="L367" s="1"/>
      <c r="M367" s="8"/>
      <c r="N367" s="1"/>
      <c r="O367" s="1"/>
      <c r="P367" s="9"/>
      <c r="Q367" s="1"/>
      <c r="R367" s="8"/>
      <c r="S367" s="10"/>
      <c r="T367" s="10"/>
      <c r="U367" s="10"/>
      <c r="V367" s="15"/>
      <c r="W367" s="15"/>
      <c r="X367" s="15"/>
      <c r="Y367" s="15"/>
      <c r="Z367" s="14"/>
      <c r="AA367" s="14"/>
      <c r="AB367" s="14"/>
      <c r="AC367" s="14"/>
      <c r="AD367" s="13"/>
      <c r="AE367" s="13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</row>
    <row r="368" spans="2:82" s="11" customFormat="1" x14ac:dyDescent="0.25">
      <c r="B368" s="1"/>
      <c r="C368" s="1"/>
      <c r="D368" s="1"/>
      <c r="E368" s="1"/>
      <c r="F368" s="1"/>
      <c r="G368" s="9"/>
      <c r="H368" s="1"/>
      <c r="I368" s="8"/>
      <c r="J368" s="8"/>
      <c r="K368" s="9"/>
      <c r="L368" s="1"/>
      <c r="M368" s="8"/>
      <c r="N368" s="1"/>
      <c r="O368" s="1"/>
      <c r="P368" s="9"/>
      <c r="Q368" s="1"/>
      <c r="R368" s="8"/>
      <c r="S368" s="10"/>
      <c r="T368" s="10"/>
      <c r="U368" s="10"/>
      <c r="V368" s="15"/>
      <c r="W368" s="15"/>
      <c r="X368" s="15"/>
      <c r="Y368" s="15"/>
      <c r="Z368" s="14"/>
      <c r="AA368" s="14"/>
      <c r="AB368" s="14"/>
      <c r="AC368" s="14"/>
      <c r="AD368" s="13"/>
      <c r="AE368" s="13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</row>
    <row r="369" spans="2:82" s="11" customFormat="1" x14ac:dyDescent="0.25">
      <c r="B369" s="1"/>
      <c r="C369" s="1"/>
      <c r="D369" s="1"/>
      <c r="E369" s="1"/>
      <c r="F369" s="1"/>
      <c r="G369" s="9"/>
      <c r="H369" s="1"/>
      <c r="I369" s="8"/>
      <c r="J369" s="8"/>
      <c r="K369" s="9"/>
      <c r="L369" s="1"/>
      <c r="M369" s="8"/>
      <c r="N369" s="1"/>
      <c r="O369" s="1"/>
      <c r="P369" s="9"/>
      <c r="Q369" s="1"/>
      <c r="R369" s="8"/>
      <c r="S369" s="10"/>
      <c r="T369" s="10"/>
      <c r="U369" s="10"/>
      <c r="V369" s="6"/>
      <c r="W369" s="6"/>
      <c r="X369" s="6"/>
      <c r="Y369" s="6"/>
      <c r="Z369" s="5"/>
      <c r="AA369" s="5"/>
      <c r="AB369" s="5"/>
      <c r="AC369" s="5"/>
      <c r="AD369" s="4"/>
      <c r="AE369" s="4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</row>
    <row r="370" spans="2:82" s="11" customFormat="1" x14ac:dyDescent="0.25">
      <c r="B370" s="1"/>
      <c r="C370" s="1"/>
      <c r="D370" s="1"/>
      <c r="E370" s="1"/>
      <c r="F370" s="1"/>
      <c r="G370" s="9"/>
      <c r="H370" s="1"/>
      <c r="I370" s="8"/>
      <c r="J370" s="8"/>
      <c r="K370" s="9"/>
      <c r="L370" s="1"/>
      <c r="M370" s="8"/>
      <c r="N370" s="1"/>
      <c r="O370" s="1"/>
      <c r="P370" s="9"/>
      <c r="Q370" s="1"/>
      <c r="R370" s="8"/>
      <c r="S370" s="10"/>
      <c r="T370" s="10"/>
      <c r="U370" s="10"/>
      <c r="V370" s="6"/>
      <c r="W370" s="6"/>
      <c r="X370" s="6"/>
      <c r="Y370" s="6"/>
      <c r="Z370" s="5"/>
      <c r="AA370" s="5"/>
      <c r="AB370" s="5"/>
      <c r="AC370" s="5"/>
      <c r="AD370" s="4"/>
      <c r="AE370" s="4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</row>
    <row r="371" spans="2:82" s="11" customFormat="1" x14ac:dyDescent="0.25">
      <c r="B371" s="1"/>
      <c r="C371" s="1"/>
      <c r="D371" s="1"/>
      <c r="E371" s="1"/>
      <c r="F371" s="1"/>
      <c r="G371" s="9"/>
      <c r="H371" s="1"/>
      <c r="I371" s="8"/>
      <c r="J371" s="8"/>
      <c r="K371" s="9"/>
      <c r="L371" s="1"/>
      <c r="M371" s="8"/>
      <c r="N371" s="1"/>
      <c r="O371" s="1"/>
      <c r="P371" s="9"/>
      <c r="Q371" s="1"/>
      <c r="R371" s="8"/>
      <c r="S371" s="10"/>
      <c r="T371" s="10"/>
      <c r="U371" s="10"/>
      <c r="V371" s="15"/>
      <c r="W371" s="15"/>
      <c r="X371" s="15"/>
      <c r="Y371" s="15"/>
      <c r="Z371" s="14"/>
      <c r="AA371" s="14"/>
      <c r="AB371" s="14"/>
      <c r="AC371" s="14"/>
      <c r="AD371" s="13"/>
      <c r="AE371" s="13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</row>
    <row r="372" spans="2:82" s="11" customFormat="1" x14ac:dyDescent="0.25">
      <c r="B372" s="1"/>
      <c r="C372" s="1"/>
      <c r="D372" s="1"/>
      <c r="E372" s="1"/>
      <c r="F372" s="1"/>
      <c r="G372" s="9"/>
      <c r="H372" s="1"/>
      <c r="I372" s="8"/>
      <c r="J372" s="8"/>
      <c r="K372" s="9"/>
      <c r="L372" s="1"/>
      <c r="M372" s="8"/>
      <c r="N372" s="1"/>
      <c r="O372" s="1"/>
      <c r="P372" s="9"/>
      <c r="Q372" s="1"/>
      <c r="R372" s="8"/>
      <c r="S372" s="10"/>
      <c r="T372" s="10"/>
      <c r="U372" s="10"/>
      <c r="V372" s="15"/>
      <c r="W372" s="15"/>
      <c r="X372" s="15"/>
      <c r="Y372" s="15"/>
      <c r="Z372" s="14"/>
      <c r="AA372" s="14"/>
      <c r="AB372" s="14"/>
      <c r="AC372" s="14"/>
      <c r="AD372" s="13"/>
      <c r="AE372" s="13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</row>
    <row r="373" spans="2:82" s="11" customFormat="1" x14ac:dyDescent="0.25">
      <c r="B373" s="1"/>
      <c r="C373" s="1"/>
      <c r="D373" s="1"/>
      <c r="E373" s="1"/>
      <c r="F373" s="1"/>
      <c r="G373" s="9"/>
      <c r="H373" s="1"/>
      <c r="I373" s="8"/>
      <c r="J373" s="8"/>
      <c r="K373" s="9"/>
      <c r="L373" s="1"/>
      <c r="M373" s="8"/>
      <c r="N373" s="1"/>
      <c r="O373" s="1"/>
      <c r="P373" s="9"/>
      <c r="Q373" s="1"/>
      <c r="R373" s="8"/>
      <c r="S373" s="10"/>
      <c r="T373" s="10"/>
      <c r="U373" s="10"/>
      <c r="V373" s="15"/>
      <c r="W373" s="15"/>
      <c r="X373" s="15"/>
      <c r="Y373" s="15"/>
      <c r="Z373" s="14"/>
      <c r="AA373" s="14"/>
      <c r="AB373" s="14"/>
      <c r="AC373" s="14"/>
      <c r="AD373" s="13"/>
      <c r="AE373" s="13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</row>
    <row r="374" spans="2:82" s="11" customFormat="1" x14ac:dyDescent="0.25">
      <c r="B374" s="1"/>
      <c r="C374" s="1"/>
      <c r="D374" s="1"/>
      <c r="E374" s="1"/>
      <c r="F374" s="1"/>
      <c r="G374" s="9"/>
      <c r="H374" s="1"/>
      <c r="I374" s="8"/>
      <c r="J374" s="8"/>
      <c r="K374" s="9"/>
      <c r="L374" s="1"/>
      <c r="M374" s="8"/>
      <c r="N374" s="1"/>
      <c r="O374" s="1"/>
      <c r="P374" s="9"/>
      <c r="Q374" s="1"/>
      <c r="R374" s="8"/>
      <c r="S374" s="10"/>
      <c r="T374" s="10"/>
      <c r="U374" s="10"/>
      <c r="V374" s="15"/>
      <c r="W374" s="15"/>
      <c r="X374" s="15"/>
      <c r="Y374" s="15"/>
      <c r="Z374" s="14"/>
      <c r="AA374" s="14"/>
      <c r="AB374" s="14"/>
      <c r="AC374" s="14"/>
      <c r="AD374" s="13"/>
      <c r="AE374" s="13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</row>
    <row r="375" spans="2:82" s="11" customFormat="1" x14ac:dyDescent="0.25">
      <c r="B375" s="1"/>
      <c r="C375" s="1"/>
      <c r="D375" s="1"/>
      <c r="E375" s="1"/>
      <c r="F375" s="1"/>
      <c r="G375" s="9"/>
      <c r="H375" s="1"/>
      <c r="I375" s="8"/>
      <c r="J375" s="8"/>
      <c r="K375" s="9"/>
      <c r="L375" s="1"/>
      <c r="M375" s="8"/>
      <c r="N375" s="1"/>
      <c r="O375" s="1"/>
      <c r="P375" s="9"/>
      <c r="Q375" s="1"/>
      <c r="R375" s="8"/>
      <c r="S375" s="10"/>
      <c r="T375" s="10"/>
      <c r="U375" s="10"/>
      <c r="V375" s="15"/>
      <c r="W375" s="15"/>
      <c r="X375" s="15"/>
      <c r="Y375" s="15"/>
      <c r="Z375" s="14"/>
      <c r="AA375" s="14"/>
      <c r="AB375" s="14"/>
      <c r="AC375" s="14"/>
      <c r="AD375" s="13"/>
      <c r="AE375" s="13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</row>
    <row r="376" spans="2:82" s="11" customFormat="1" x14ac:dyDescent="0.25">
      <c r="B376" s="1"/>
      <c r="C376" s="1"/>
      <c r="D376" s="1"/>
      <c r="E376" s="1"/>
      <c r="F376" s="1"/>
      <c r="G376" s="9"/>
      <c r="H376" s="1"/>
      <c r="I376" s="8"/>
      <c r="J376" s="8"/>
      <c r="K376" s="9"/>
      <c r="L376" s="1"/>
      <c r="M376" s="8"/>
      <c r="N376" s="1"/>
      <c r="O376" s="1"/>
      <c r="P376" s="9"/>
      <c r="Q376" s="1"/>
      <c r="R376" s="8"/>
      <c r="S376" s="10"/>
      <c r="T376" s="10"/>
      <c r="U376" s="10"/>
      <c r="V376" s="15"/>
      <c r="W376" s="15"/>
      <c r="X376" s="15"/>
      <c r="Y376" s="15"/>
      <c r="Z376" s="14"/>
      <c r="AA376" s="14"/>
      <c r="AB376" s="14"/>
      <c r="AC376" s="14"/>
      <c r="AD376" s="13"/>
      <c r="AE376" s="13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</row>
    <row r="377" spans="2:82" s="11" customFormat="1" x14ac:dyDescent="0.25">
      <c r="B377" s="1"/>
      <c r="C377" s="1"/>
      <c r="D377" s="1"/>
      <c r="E377" s="1"/>
      <c r="F377" s="1"/>
      <c r="G377" s="9"/>
      <c r="H377" s="1"/>
      <c r="I377" s="8"/>
      <c r="J377" s="8"/>
      <c r="K377" s="9"/>
      <c r="L377" s="1"/>
      <c r="M377" s="8"/>
      <c r="N377" s="1"/>
      <c r="O377" s="1"/>
      <c r="P377" s="9"/>
      <c r="Q377" s="1"/>
      <c r="R377" s="8"/>
      <c r="S377" s="10"/>
      <c r="T377" s="10"/>
      <c r="U377" s="10"/>
      <c r="V377" s="15"/>
      <c r="W377" s="15"/>
      <c r="X377" s="15"/>
      <c r="Y377" s="15"/>
      <c r="Z377" s="14"/>
      <c r="AA377" s="14"/>
      <c r="AB377" s="14"/>
      <c r="AC377" s="14"/>
      <c r="AD377" s="13"/>
      <c r="AE377" s="13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</row>
    <row r="378" spans="2:82" s="11" customFormat="1" x14ac:dyDescent="0.25">
      <c r="B378" s="1"/>
      <c r="C378" s="1"/>
      <c r="D378" s="1"/>
      <c r="E378" s="1"/>
      <c r="F378" s="1"/>
      <c r="G378" s="9"/>
      <c r="H378" s="1"/>
      <c r="I378" s="8"/>
      <c r="J378" s="8"/>
      <c r="K378" s="9"/>
      <c r="L378" s="1"/>
      <c r="M378" s="8"/>
      <c r="N378" s="1"/>
      <c r="O378" s="1"/>
      <c r="P378" s="9"/>
      <c r="Q378" s="1"/>
      <c r="R378" s="8"/>
      <c r="S378" s="10"/>
      <c r="T378" s="10"/>
      <c r="U378" s="10"/>
      <c r="V378" s="15"/>
      <c r="W378" s="15"/>
      <c r="X378" s="15"/>
      <c r="Y378" s="15"/>
      <c r="Z378" s="14"/>
      <c r="AA378" s="14"/>
      <c r="AB378" s="14"/>
      <c r="AC378" s="14"/>
      <c r="AD378" s="13"/>
      <c r="AE378" s="13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</row>
    <row r="379" spans="2:82" s="11" customFormat="1" x14ac:dyDescent="0.25">
      <c r="B379" s="1"/>
      <c r="C379" s="1"/>
      <c r="D379" s="1"/>
      <c r="E379" s="1"/>
      <c r="F379" s="1"/>
      <c r="G379" s="9"/>
      <c r="H379" s="1"/>
      <c r="I379" s="8"/>
      <c r="J379" s="8"/>
      <c r="K379" s="9"/>
      <c r="L379" s="1"/>
      <c r="M379" s="8"/>
      <c r="N379" s="1"/>
      <c r="O379" s="1"/>
      <c r="P379" s="9"/>
      <c r="Q379" s="1"/>
      <c r="R379" s="8"/>
      <c r="S379" s="10"/>
      <c r="T379" s="10"/>
      <c r="U379" s="10"/>
      <c r="V379" s="15"/>
      <c r="W379" s="15"/>
      <c r="X379" s="15"/>
      <c r="Y379" s="15"/>
      <c r="Z379" s="14"/>
      <c r="AA379" s="14"/>
      <c r="AB379" s="14"/>
      <c r="AC379" s="14"/>
      <c r="AD379" s="13"/>
      <c r="AE379" s="13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</row>
    <row r="380" spans="2:82" s="11" customFormat="1" x14ac:dyDescent="0.25">
      <c r="B380" s="1"/>
      <c r="C380" s="1"/>
      <c r="D380" s="1"/>
      <c r="E380" s="1"/>
      <c r="F380" s="1"/>
      <c r="G380" s="9"/>
      <c r="H380" s="1"/>
      <c r="I380" s="8"/>
      <c r="J380" s="8"/>
      <c r="K380" s="9"/>
      <c r="L380" s="1"/>
      <c r="M380" s="8"/>
      <c r="N380" s="1"/>
      <c r="O380" s="1"/>
      <c r="P380" s="9"/>
      <c r="Q380" s="1"/>
      <c r="R380" s="8"/>
      <c r="S380" s="10"/>
      <c r="T380" s="10"/>
      <c r="U380" s="10"/>
      <c r="V380" s="15"/>
      <c r="W380" s="15"/>
      <c r="X380" s="15"/>
      <c r="Y380" s="15"/>
      <c r="Z380" s="14"/>
      <c r="AA380" s="14"/>
      <c r="AB380" s="14"/>
      <c r="AC380" s="14"/>
      <c r="AD380" s="13"/>
      <c r="AE380" s="13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</row>
    <row r="381" spans="2:82" s="11" customFormat="1" x14ac:dyDescent="0.25">
      <c r="B381" s="1"/>
      <c r="C381" s="1"/>
      <c r="D381" s="1"/>
      <c r="E381" s="1"/>
      <c r="F381" s="1"/>
      <c r="G381" s="9"/>
      <c r="H381" s="1"/>
      <c r="I381" s="8"/>
      <c r="J381" s="8"/>
      <c r="K381" s="9"/>
      <c r="L381" s="1"/>
      <c r="M381" s="8"/>
      <c r="N381" s="1"/>
      <c r="O381" s="1"/>
      <c r="P381" s="9"/>
      <c r="Q381" s="1"/>
      <c r="R381" s="8"/>
      <c r="S381" s="10"/>
      <c r="T381" s="10"/>
      <c r="U381" s="10"/>
      <c r="V381" s="6"/>
      <c r="W381" s="6"/>
      <c r="X381" s="6"/>
      <c r="Y381" s="6"/>
      <c r="Z381" s="5"/>
      <c r="AA381" s="5"/>
      <c r="AB381" s="5"/>
      <c r="AC381" s="5"/>
      <c r="AD381" s="4"/>
      <c r="AE381" s="4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</row>
    <row r="382" spans="2:82" s="11" customFormat="1" x14ac:dyDescent="0.25">
      <c r="B382" s="1"/>
      <c r="C382" s="1"/>
      <c r="D382" s="1"/>
      <c r="E382" s="1"/>
      <c r="F382" s="1"/>
      <c r="G382" s="9"/>
      <c r="H382" s="1"/>
      <c r="I382" s="8"/>
      <c r="J382" s="8"/>
      <c r="K382" s="9"/>
      <c r="L382" s="1"/>
      <c r="M382" s="8"/>
      <c r="N382" s="1"/>
      <c r="O382" s="1"/>
      <c r="P382" s="9"/>
      <c r="Q382" s="1"/>
      <c r="R382" s="8"/>
      <c r="S382" s="10"/>
      <c r="T382" s="10"/>
      <c r="U382" s="10"/>
      <c r="V382" s="6"/>
      <c r="W382" s="6"/>
      <c r="X382" s="6"/>
      <c r="Y382" s="6"/>
      <c r="Z382" s="5"/>
      <c r="AA382" s="5"/>
      <c r="AB382" s="5"/>
      <c r="AC382" s="5"/>
      <c r="AD382" s="4"/>
      <c r="AE382" s="4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</row>
    <row r="383" spans="2:82" s="11" customFormat="1" x14ac:dyDescent="0.25">
      <c r="B383" s="1"/>
      <c r="C383" s="1"/>
      <c r="D383" s="1"/>
      <c r="E383" s="1"/>
      <c r="F383" s="1"/>
      <c r="G383" s="9"/>
      <c r="H383" s="1"/>
      <c r="I383" s="8"/>
      <c r="J383" s="8"/>
      <c r="K383" s="9"/>
      <c r="L383" s="1"/>
      <c r="M383" s="8"/>
      <c r="N383" s="1"/>
      <c r="O383" s="1"/>
      <c r="P383" s="9"/>
      <c r="Q383" s="1"/>
      <c r="R383" s="8"/>
      <c r="S383" s="10"/>
      <c r="T383" s="10"/>
      <c r="U383" s="10"/>
      <c r="V383" s="15"/>
      <c r="W383" s="15"/>
      <c r="X383" s="15"/>
      <c r="Y383" s="15"/>
      <c r="Z383" s="14"/>
      <c r="AA383" s="14"/>
      <c r="AB383" s="14"/>
      <c r="AC383" s="14"/>
      <c r="AD383" s="13"/>
      <c r="AE383" s="13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</row>
    <row r="384" spans="2:82" s="11" customFormat="1" x14ac:dyDescent="0.25">
      <c r="B384" s="1"/>
      <c r="C384" s="1"/>
      <c r="D384" s="1"/>
      <c r="E384" s="1"/>
      <c r="F384" s="1"/>
      <c r="G384" s="9"/>
      <c r="H384" s="1"/>
      <c r="I384" s="8"/>
      <c r="J384" s="8"/>
      <c r="K384" s="9"/>
      <c r="L384" s="1"/>
      <c r="M384" s="8"/>
      <c r="N384" s="1"/>
      <c r="O384" s="1"/>
      <c r="P384" s="9"/>
      <c r="Q384" s="1"/>
      <c r="R384" s="8"/>
      <c r="S384" s="10"/>
      <c r="T384" s="10"/>
      <c r="U384" s="10"/>
      <c r="V384" s="15"/>
      <c r="W384" s="15"/>
      <c r="X384" s="15"/>
      <c r="Y384" s="15"/>
      <c r="Z384" s="14"/>
      <c r="AA384" s="14"/>
      <c r="AB384" s="14"/>
      <c r="AC384" s="14"/>
      <c r="AD384" s="13"/>
      <c r="AE384" s="13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</row>
    <row r="385" spans="2:82" s="11" customFormat="1" x14ac:dyDescent="0.25">
      <c r="B385" s="1"/>
      <c r="C385" s="1"/>
      <c r="D385" s="1"/>
      <c r="E385" s="1"/>
      <c r="F385" s="1"/>
      <c r="G385" s="9"/>
      <c r="H385" s="1"/>
      <c r="I385" s="8"/>
      <c r="J385" s="8"/>
      <c r="K385" s="9"/>
      <c r="L385" s="1"/>
      <c r="M385" s="8"/>
      <c r="N385" s="1"/>
      <c r="O385" s="1"/>
      <c r="P385" s="9"/>
      <c r="Q385" s="1"/>
      <c r="R385" s="8"/>
      <c r="S385" s="10"/>
      <c r="T385" s="10"/>
      <c r="U385" s="10"/>
      <c r="V385" s="15"/>
      <c r="W385" s="15"/>
      <c r="X385" s="15"/>
      <c r="Y385" s="15"/>
      <c r="Z385" s="14"/>
      <c r="AA385" s="14"/>
      <c r="AB385" s="14"/>
      <c r="AC385" s="14"/>
      <c r="AD385" s="13"/>
      <c r="AE385" s="13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</row>
    <row r="386" spans="2:82" s="11" customFormat="1" x14ac:dyDescent="0.25">
      <c r="B386" s="1"/>
      <c r="C386" s="1"/>
      <c r="D386" s="1"/>
      <c r="E386" s="1"/>
      <c r="F386" s="1"/>
      <c r="G386" s="9"/>
      <c r="H386" s="1"/>
      <c r="I386" s="8"/>
      <c r="J386" s="8"/>
      <c r="K386" s="9"/>
      <c r="L386" s="1"/>
      <c r="M386" s="8"/>
      <c r="N386" s="1"/>
      <c r="O386" s="1"/>
      <c r="P386" s="9"/>
      <c r="Q386" s="1"/>
      <c r="R386" s="8"/>
      <c r="S386" s="10"/>
      <c r="T386" s="10"/>
      <c r="U386" s="10"/>
      <c r="V386" s="15"/>
      <c r="W386" s="15"/>
      <c r="X386" s="15"/>
      <c r="Y386" s="15"/>
      <c r="Z386" s="14"/>
      <c r="AA386" s="14"/>
      <c r="AB386" s="14"/>
      <c r="AC386" s="14"/>
      <c r="AD386" s="13"/>
      <c r="AE386" s="13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</row>
    <row r="387" spans="2:82" s="11" customFormat="1" x14ac:dyDescent="0.25">
      <c r="B387" s="1"/>
      <c r="C387" s="1"/>
      <c r="D387" s="1"/>
      <c r="E387" s="1"/>
      <c r="F387" s="1"/>
      <c r="G387" s="9"/>
      <c r="H387" s="1"/>
      <c r="I387" s="8"/>
      <c r="J387" s="8"/>
      <c r="K387" s="9"/>
      <c r="L387" s="1"/>
      <c r="M387" s="8"/>
      <c r="N387" s="1"/>
      <c r="O387" s="1"/>
      <c r="P387" s="9"/>
      <c r="Q387" s="1"/>
      <c r="R387" s="8"/>
      <c r="S387" s="10"/>
      <c r="T387" s="10"/>
      <c r="U387" s="10"/>
      <c r="V387" s="15"/>
      <c r="W387" s="15"/>
      <c r="X387" s="15"/>
      <c r="Y387" s="15"/>
      <c r="Z387" s="14"/>
      <c r="AA387" s="14"/>
      <c r="AB387" s="14"/>
      <c r="AC387" s="14"/>
      <c r="AD387" s="13"/>
      <c r="AE387" s="13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</row>
    <row r="388" spans="2:82" s="11" customFormat="1" x14ac:dyDescent="0.25">
      <c r="B388" s="1"/>
      <c r="C388" s="1"/>
      <c r="D388" s="1"/>
      <c r="E388" s="1"/>
      <c r="F388" s="1"/>
      <c r="G388" s="9"/>
      <c r="H388" s="1"/>
      <c r="I388" s="8"/>
      <c r="J388" s="8"/>
      <c r="K388" s="9"/>
      <c r="L388" s="1"/>
      <c r="M388" s="8"/>
      <c r="N388" s="1"/>
      <c r="O388" s="1"/>
      <c r="P388" s="9"/>
      <c r="Q388" s="1"/>
      <c r="R388" s="8"/>
      <c r="S388" s="10"/>
      <c r="T388" s="10"/>
      <c r="U388" s="10"/>
      <c r="V388" s="15"/>
      <c r="W388" s="15"/>
      <c r="X388" s="15"/>
      <c r="Y388" s="15"/>
      <c r="Z388" s="14"/>
      <c r="AA388" s="14"/>
      <c r="AB388" s="14"/>
      <c r="AC388" s="14"/>
      <c r="AD388" s="13"/>
      <c r="AE388" s="13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</row>
    <row r="389" spans="2:82" s="11" customFormat="1" x14ac:dyDescent="0.25">
      <c r="B389" s="1"/>
      <c r="C389" s="1"/>
      <c r="D389" s="1"/>
      <c r="E389" s="1"/>
      <c r="F389" s="1"/>
      <c r="G389" s="9"/>
      <c r="H389" s="1"/>
      <c r="I389" s="8"/>
      <c r="J389" s="8"/>
      <c r="K389" s="9"/>
      <c r="L389" s="1"/>
      <c r="M389" s="8"/>
      <c r="N389" s="1"/>
      <c r="O389" s="1"/>
      <c r="P389" s="9"/>
      <c r="Q389" s="1"/>
      <c r="R389" s="8"/>
      <c r="S389" s="10"/>
      <c r="T389" s="10"/>
      <c r="U389" s="10"/>
      <c r="V389" s="15"/>
      <c r="W389" s="15"/>
      <c r="X389" s="15"/>
      <c r="Y389" s="15"/>
      <c r="Z389" s="14"/>
      <c r="AA389" s="14"/>
      <c r="AB389" s="14"/>
      <c r="AC389" s="14"/>
      <c r="AD389" s="13"/>
      <c r="AE389" s="13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</row>
    <row r="390" spans="2:82" s="11" customFormat="1" x14ac:dyDescent="0.25">
      <c r="B390" s="1"/>
      <c r="C390" s="1"/>
      <c r="D390" s="1"/>
      <c r="E390" s="1"/>
      <c r="F390" s="1"/>
      <c r="G390" s="9"/>
      <c r="H390" s="1"/>
      <c r="I390" s="8"/>
      <c r="J390" s="8"/>
      <c r="K390" s="9"/>
      <c r="L390" s="1"/>
      <c r="M390" s="8"/>
      <c r="N390" s="1"/>
      <c r="O390" s="1"/>
      <c r="P390" s="9"/>
      <c r="Q390" s="1"/>
      <c r="R390" s="8"/>
      <c r="S390" s="10"/>
      <c r="T390" s="10"/>
      <c r="U390" s="10"/>
      <c r="V390" s="15"/>
      <c r="W390" s="15"/>
      <c r="X390" s="15"/>
      <c r="Y390" s="15"/>
      <c r="Z390" s="14"/>
      <c r="AA390" s="14"/>
      <c r="AB390" s="14"/>
      <c r="AC390" s="14"/>
      <c r="AD390" s="13"/>
      <c r="AE390" s="13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</row>
    <row r="391" spans="2:82" s="11" customFormat="1" x14ac:dyDescent="0.25">
      <c r="B391" s="1"/>
      <c r="C391" s="1"/>
      <c r="D391" s="1"/>
      <c r="E391" s="1"/>
      <c r="F391" s="1"/>
      <c r="G391" s="9"/>
      <c r="H391" s="1"/>
      <c r="I391" s="8"/>
      <c r="J391" s="8"/>
      <c r="K391" s="9"/>
      <c r="L391" s="1"/>
      <c r="M391" s="8"/>
      <c r="N391" s="1"/>
      <c r="O391" s="1"/>
      <c r="P391" s="9"/>
      <c r="Q391" s="1"/>
      <c r="R391" s="8"/>
      <c r="S391" s="10"/>
      <c r="T391" s="10"/>
      <c r="U391" s="10"/>
      <c r="V391" s="15"/>
      <c r="W391" s="15"/>
      <c r="X391" s="15"/>
      <c r="Y391" s="15"/>
      <c r="Z391" s="14"/>
      <c r="AA391" s="14"/>
      <c r="AB391" s="14"/>
      <c r="AC391" s="14"/>
      <c r="AD391" s="13"/>
      <c r="AE391" s="13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</row>
    <row r="392" spans="2:82" s="11" customFormat="1" x14ac:dyDescent="0.25">
      <c r="B392" s="1"/>
      <c r="C392" s="1"/>
      <c r="D392" s="1"/>
      <c r="E392" s="1"/>
      <c r="F392" s="1"/>
      <c r="G392" s="9"/>
      <c r="H392" s="1"/>
      <c r="I392" s="8"/>
      <c r="J392" s="8"/>
      <c r="K392" s="9"/>
      <c r="L392" s="1"/>
      <c r="M392" s="8"/>
      <c r="N392" s="1"/>
      <c r="O392" s="1"/>
      <c r="P392" s="9"/>
      <c r="Q392" s="1"/>
      <c r="R392" s="8"/>
      <c r="S392" s="10"/>
      <c r="T392" s="10"/>
      <c r="U392" s="10"/>
      <c r="V392" s="15"/>
      <c r="W392" s="15"/>
      <c r="X392" s="15"/>
      <c r="Y392" s="15"/>
      <c r="Z392" s="14"/>
      <c r="AA392" s="14"/>
      <c r="AB392" s="14"/>
      <c r="AC392" s="14"/>
      <c r="AD392" s="13"/>
      <c r="AE392" s="13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</row>
    <row r="393" spans="2:82" s="11" customFormat="1" x14ac:dyDescent="0.25">
      <c r="B393" s="1"/>
      <c r="C393" s="1"/>
      <c r="D393" s="1"/>
      <c r="E393" s="1"/>
      <c r="F393" s="1"/>
      <c r="G393" s="9"/>
      <c r="H393" s="1"/>
      <c r="I393" s="8"/>
      <c r="J393" s="8"/>
      <c r="K393" s="9"/>
      <c r="L393" s="1"/>
      <c r="M393" s="8"/>
      <c r="N393" s="1"/>
      <c r="O393" s="1"/>
      <c r="P393" s="9"/>
      <c r="Q393" s="1"/>
      <c r="R393" s="8"/>
      <c r="S393" s="10"/>
      <c r="T393" s="10"/>
      <c r="U393" s="10"/>
      <c r="V393" s="6"/>
      <c r="W393" s="6"/>
      <c r="X393" s="6"/>
      <c r="Y393" s="6"/>
      <c r="Z393" s="5"/>
      <c r="AA393" s="5"/>
      <c r="AB393" s="5"/>
      <c r="AC393" s="5"/>
      <c r="AD393" s="4"/>
      <c r="AE393" s="4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</row>
    <row r="394" spans="2:82" s="11" customFormat="1" x14ac:dyDescent="0.25">
      <c r="B394" s="1"/>
      <c r="C394" s="1"/>
      <c r="D394" s="1"/>
      <c r="E394" s="1"/>
      <c r="F394" s="1"/>
      <c r="G394" s="9"/>
      <c r="H394" s="1"/>
      <c r="I394" s="8"/>
      <c r="J394" s="8"/>
      <c r="K394" s="9"/>
      <c r="L394" s="1"/>
      <c r="M394" s="8"/>
      <c r="N394" s="1"/>
      <c r="O394" s="1"/>
      <c r="P394" s="9"/>
      <c r="Q394" s="1"/>
      <c r="R394" s="8"/>
      <c r="S394" s="10"/>
      <c r="T394" s="10"/>
      <c r="U394" s="10"/>
      <c r="V394" s="6"/>
      <c r="W394" s="6"/>
      <c r="X394" s="6"/>
      <c r="Y394" s="6"/>
      <c r="Z394" s="5"/>
      <c r="AA394" s="5"/>
      <c r="AB394" s="5"/>
      <c r="AC394" s="5"/>
      <c r="AD394" s="4"/>
      <c r="AE394" s="4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</row>
    <row r="395" spans="2:82" s="11" customFormat="1" x14ac:dyDescent="0.25">
      <c r="B395" s="1"/>
      <c r="C395" s="1"/>
      <c r="D395" s="1"/>
      <c r="E395" s="1"/>
      <c r="F395" s="1"/>
      <c r="G395" s="9"/>
      <c r="H395" s="1"/>
      <c r="I395" s="8"/>
      <c r="J395" s="8"/>
      <c r="K395" s="9"/>
      <c r="L395" s="1"/>
      <c r="M395" s="8"/>
      <c r="N395" s="1"/>
      <c r="O395" s="1"/>
      <c r="P395" s="9"/>
      <c r="Q395" s="1"/>
      <c r="R395" s="8"/>
      <c r="S395" s="10"/>
      <c r="T395" s="10"/>
      <c r="U395" s="10"/>
      <c r="V395" s="15"/>
      <c r="W395" s="15"/>
      <c r="X395" s="15"/>
      <c r="Y395" s="15"/>
      <c r="Z395" s="14"/>
      <c r="AA395" s="14"/>
      <c r="AB395" s="14"/>
      <c r="AC395" s="14"/>
      <c r="AD395" s="13"/>
      <c r="AE395" s="13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</row>
    <row r="396" spans="2:82" s="11" customFormat="1" x14ac:dyDescent="0.25">
      <c r="B396" s="1"/>
      <c r="C396" s="1"/>
      <c r="D396" s="1"/>
      <c r="E396" s="1"/>
      <c r="F396" s="1"/>
      <c r="G396" s="9"/>
      <c r="H396" s="1"/>
      <c r="I396" s="8"/>
      <c r="J396" s="8"/>
      <c r="K396" s="9"/>
      <c r="L396" s="1"/>
      <c r="M396" s="8"/>
      <c r="N396" s="1"/>
      <c r="O396" s="1"/>
      <c r="P396" s="9"/>
      <c r="Q396" s="1"/>
      <c r="R396" s="8"/>
      <c r="S396" s="10"/>
      <c r="T396" s="10"/>
      <c r="U396" s="10"/>
      <c r="V396" s="15"/>
      <c r="W396" s="15"/>
      <c r="X396" s="15"/>
      <c r="Y396" s="15"/>
      <c r="Z396" s="14"/>
      <c r="AA396" s="14"/>
      <c r="AB396" s="14"/>
      <c r="AC396" s="14"/>
      <c r="AD396" s="13"/>
      <c r="AE396" s="13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</row>
    <row r="397" spans="2:82" s="11" customFormat="1" x14ac:dyDescent="0.25">
      <c r="B397" s="1"/>
      <c r="C397" s="1"/>
      <c r="D397" s="1"/>
      <c r="E397" s="1"/>
      <c r="F397" s="1"/>
      <c r="G397" s="9"/>
      <c r="H397" s="1"/>
      <c r="I397" s="8"/>
      <c r="J397" s="8"/>
      <c r="K397" s="9"/>
      <c r="L397" s="1"/>
      <c r="M397" s="8"/>
      <c r="N397" s="1"/>
      <c r="O397" s="1"/>
      <c r="P397" s="9"/>
      <c r="Q397" s="1"/>
      <c r="R397" s="8"/>
      <c r="S397" s="10"/>
      <c r="T397" s="10"/>
      <c r="U397" s="10"/>
      <c r="V397" s="15"/>
      <c r="W397" s="15"/>
      <c r="X397" s="15"/>
      <c r="Y397" s="15"/>
      <c r="Z397" s="14"/>
      <c r="AA397" s="14"/>
      <c r="AB397" s="14"/>
      <c r="AC397" s="14"/>
      <c r="AD397" s="13"/>
      <c r="AE397" s="13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</row>
    <row r="398" spans="2:82" s="11" customFormat="1" x14ac:dyDescent="0.25">
      <c r="B398" s="1"/>
      <c r="C398" s="1"/>
      <c r="D398" s="1"/>
      <c r="E398" s="1"/>
      <c r="F398" s="1"/>
      <c r="G398" s="9"/>
      <c r="H398" s="1"/>
      <c r="I398" s="8"/>
      <c r="J398" s="8"/>
      <c r="K398" s="9"/>
      <c r="L398" s="1"/>
      <c r="M398" s="8"/>
      <c r="N398" s="1"/>
      <c r="O398" s="1"/>
      <c r="P398" s="9"/>
      <c r="Q398" s="1"/>
      <c r="R398" s="8"/>
      <c r="S398" s="10"/>
      <c r="T398" s="10"/>
      <c r="U398" s="10"/>
      <c r="V398" s="15"/>
      <c r="W398" s="15"/>
      <c r="X398" s="15"/>
      <c r="Y398" s="15"/>
      <c r="Z398" s="14"/>
      <c r="AA398" s="14"/>
      <c r="AB398" s="14"/>
      <c r="AC398" s="14"/>
      <c r="AD398" s="13"/>
      <c r="AE398" s="13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</row>
    <row r="399" spans="2:82" s="11" customFormat="1" x14ac:dyDescent="0.25">
      <c r="B399" s="1"/>
      <c r="C399" s="1"/>
      <c r="D399" s="1"/>
      <c r="E399" s="1"/>
      <c r="F399" s="1"/>
      <c r="G399" s="9"/>
      <c r="H399" s="1"/>
      <c r="I399" s="8"/>
      <c r="J399" s="8"/>
      <c r="K399" s="9"/>
      <c r="L399" s="1"/>
      <c r="M399" s="8"/>
      <c r="N399" s="1"/>
      <c r="O399" s="1"/>
      <c r="P399" s="9"/>
      <c r="Q399" s="1"/>
      <c r="R399" s="8"/>
      <c r="S399" s="10"/>
      <c r="T399" s="10"/>
      <c r="U399" s="10"/>
      <c r="V399" s="15"/>
      <c r="W399" s="15"/>
      <c r="X399" s="15"/>
      <c r="Y399" s="15"/>
      <c r="Z399" s="14"/>
      <c r="AA399" s="14"/>
      <c r="AB399" s="14"/>
      <c r="AC399" s="14"/>
      <c r="AD399" s="13"/>
      <c r="AE399" s="13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</row>
    <row r="400" spans="2:82" s="11" customFormat="1" x14ac:dyDescent="0.25">
      <c r="B400" s="1"/>
      <c r="C400" s="1"/>
      <c r="D400" s="1"/>
      <c r="E400" s="1"/>
      <c r="F400" s="1"/>
      <c r="G400" s="9"/>
      <c r="H400" s="1"/>
      <c r="I400" s="8"/>
      <c r="J400" s="8"/>
      <c r="K400" s="9"/>
      <c r="L400" s="1"/>
      <c r="M400" s="8"/>
      <c r="N400" s="1"/>
      <c r="O400" s="1"/>
      <c r="P400" s="9"/>
      <c r="Q400" s="1"/>
      <c r="R400" s="8"/>
      <c r="S400" s="10"/>
      <c r="T400" s="10"/>
      <c r="U400" s="10"/>
      <c r="V400" s="15"/>
      <c r="W400" s="15"/>
      <c r="X400" s="15"/>
      <c r="Y400" s="15"/>
      <c r="Z400" s="14"/>
      <c r="AA400" s="14"/>
      <c r="AB400" s="14"/>
      <c r="AC400" s="14"/>
      <c r="AD400" s="13"/>
      <c r="AE400" s="13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</row>
    <row r="401" spans="2:82" s="11" customFormat="1" x14ac:dyDescent="0.25">
      <c r="B401" s="1"/>
      <c r="C401" s="1"/>
      <c r="D401" s="1"/>
      <c r="E401" s="1"/>
      <c r="F401" s="1"/>
      <c r="G401" s="9"/>
      <c r="H401" s="1"/>
      <c r="I401" s="8"/>
      <c r="J401" s="8"/>
      <c r="K401" s="9"/>
      <c r="L401" s="1"/>
      <c r="M401" s="8"/>
      <c r="N401" s="1"/>
      <c r="O401" s="1"/>
      <c r="P401" s="9"/>
      <c r="Q401" s="1"/>
      <c r="R401" s="8"/>
      <c r="S401" s="10"/>
      <c r="T401" s="10"/>
      <c r="U401" s="10"/>
      <c r="V401" s="15"/>
      <c r="W401" s="15"/>
      <c r="X401" s="15"/>
      <c r="Y401" s="15"/>
      <c r="Z401" s="14"/>
      <c r="AA401" s="14"/>
      <c r="AB401" s="14"/>
      <c r="AC401" s="14"/>
      <c r="AD401" s="13"/>
      <c r="AE401" s="13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</row>
    <row r="402" spans="2:82" s="11" customFormat="1" x14ac:dyDescent="0.25">
      <c r="B402" s="1"/>
      <c r="C402" s="1"/>
      <c r="D402" s="1"/>
      <c r="E402" s="1"/>
      <c r="F402" s="1"/>
      <c r="G402" s="9"/>
      <c r="H402" s="1"/>
      <c r="I402" s="8"/>
      <c r="J402" s="8"/>
      <c r="K402" s="9"/>
      <c r="L402" s="1"/>
      <c r="M402" s="8"/>
      <c r="N402" s="1"/>
      <c r="O402" s="1"/>
      <c r="P402" s="9"/>
      <c r="Q402" s="1"/>
      <c r="R402" s="8"/>
      <c r="S402" s="10"/>
      <c r="T402" s="10"/>
      <c r="U402" s="10"/>
      <c r="V402" s="15"/>
      <c r="W402" s="15"/>
      <c r="X402" s="15"/>
      <c r="Y402" s="15"/>
      <c r="Z402" s="14"/>
      <c r="AA402" s="14"/>
      <c r="AB402" s="14"/>
      <c r="AC402" s="14"/>
      <c r="AD402" s="13"/>
      <c r="AE402" s="13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</row>
    <row r="403" spans="2:82" s="11" customFormat="1" x14ac:dyDescent="0.25">
      <c r="B403" s="1"/>
      <c r="C403" s="1"/>
      <c r="D403" s="1"/>
      <c r="E403" s="1"/>
      <c r="F403" s="1"/>
      <c r="G403" s="9"/>
      <c r="H403" s="1"/>
      <c r="I403" s="8"/>
      <c r="J403" s="8"/>
      <c r="K403" s="9"/>
      <c r="L403" s="1"/>
      <c r="M403" s="8"/>
      <c r="N403" s="1"/>
      <c r="O403" s="1"/>
      <c r="P403" s="9"/>
      <c r="Q403" s="1"/>
      <c r="R403" s="8"/>
      <c r="S403" s="10"/>
      <c r="T403" s="10"/>
      <c r="U403" s="10"/>
      <c r="V403" s="15"/>
      <c r="W403" s="15"/>
      <c r="X403" s="15"/>
      <c r="Y403" s="15"/>
      <c r="Z403" s="14"/>
      <c r="AA403" s="14"/>
      <c r="AB403" s="14"/>
      <c r="AC403" s="14"/>
      <c r="AD403" s="13"/>
      <c r="AE403" s="13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</row>
    <row r="404" spans="2:82" s="11" customFormat="1" x14ac:dyDescent="0.25">
      <c r="B404" s="1"/>
      <c r="C404" s="1"/>
      <c r="D404" s="1"/>
      <c r="E404" s="1"/>
      <c r="F404" s="1"/>
      <c r="G404" s="9"/>
      <c r="H404" s="1"/>
      <c r="I404" s="8"/>
      <c r="J404" s="8"/>
      <c r="K404" s="9"/>
      <c r="L404" s="1"/>
      <c r="M404" s="8"/>
      <c r="N404" s="1"/>
      <c r="O404" s="1"/>
      <c r="P404" s="9"/>
      <c r="Q404" s="1"/>
      <c r="R404" s="8"/>
      <c r="S404" s="10"/>
      <c r="T404" s="10"/>
      <c r="U404" s="10"/>
      <c r="V404" s="15"/>
      <c r="W404" s="15"/>
      <c r="X404" s="15"/>
      <c r="Y404" s="15"/>
      <c r="Z404" s="14"/>
      <c r="AA404" s="14"/>
      <c r="AB404" s="14"/>
      <c r="AC404" s="14"/>
      <c r="AD404" s="13"/>
      <c r="AE404" s="13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</row>
    <row r="405" spans="2:82" s="11" customFormat="1" x14ac:dyDescent="0.25">
      <c r="B405" s="1"/>
      <c r="C405" s="1"/>
      <c r="D405" s="1"/>
      <c r="E405" s="1"/>
      <c r="F405" s="1"/>
      <c r="G405" s="9"/>
      <c r="H405" s="1"/>
      <c r="I405" s="8"/>
      <c r="J405" s="8"/>
      <c r="K405" s="9"/>
      <c r="L405" s="1"/>
      <c r="M405" s="8"/>
      <c r="N405" s="1"/>
      <c r="O405" s="1"/>
      <c r="P405" s="9"/>
      <c r="Q405" s="1"/>
      <c r="R405" s="8"/>
      <c r="S405" s="10"/>
      <c r="T405" s="10"/>
      <c r="U405" s="10"/>
      <c r="V405" s="6"/>
      <c r="W405" s="6"/>
      <c r="X405" s="6"/>
      <c r="Y405" s="6"/>
      <c r="Z405" s="5"/>
      <c r="AA405" s="5"/>
      <c r="AB405" s="5"/>
      <c r="AC405" s="5"/>
      <c r="AD405" s="4"/>
      <c r="AE405" s="4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</row>
    <row r="406" spans="2:82" s="11" customFormat="1" x14ac:dyDescent="0.25">
      <c r="B406" s="1"/>
      <c r="C406" s="1"/>
      <c r="D406" s="1"/>
      <c r="E406" s="1"/>
      <c r="F406" s="1"/>
      <c r="G406" s="9"/>
      <c r="H406" s="1"/>
      <c r="I406" s="8"/>
      <c r="J406" s="8"/>
      <c r="K406" s="9"/>
      <c r="L406" s="1"/>
      <c r="M406" s="8"/>
      <c r="N406" s="1"/>
      <c r="O406" s="1"/>
      <c r="P406" s="9"/>
      <c r="Q406" s="1"/>
      <c r="R406" s="8"/>
      <c r="S406" s="10"/>
      <c r="T406" s="10"/>
      <c r="U406" s="10"/>
      <c r="V406" s="6"/>
      <c r="W406" s="6"/>
      <c r="X406" s="6"/>
      <c r="Y406" s="6"/>
      <c r="Z406" s="5"/>
      <c r="AA406" s="5"/>
      <c r="AB406" s="5"/>
      <c r="AC406" s="5"/>
      <c r="AD406" s="4"/>
      <c r="AE406" s="4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</row>
    <row r="407" spans="2:82" s="11" customFormat="1" x14ac:dyDescent="0.25">
      <c r="B407" s="1"/>
      <c r="C407" s="1"/>
      <c r="D407" s="1"/>
      <c r="E407" s="1"/>
      <c r="F407" s="1"/>
      <c r="G407" s="9"/>
      <c r="H407" s="1"/>
      <c r="I407" s="8"/>
      <c r="J407" s="8"/>
      <c r="K407" s="9"/>
      <c r="L407" s="1"/>
      <c r="M407" s="8"/>
      <c r="N407" s="1"/>
      <c r="O407" s="1"/>
      <c r="P407" s="9"/>
      <c r="Q407" s="1"/>
      <c r="R407" s="8"/>
      <c r="S407" s="10"/>
      <c r="T407" s="10"/>
      <c r="U407" s="10"/>
      <c r="V407" s="15"/>
      <c r="W407" s="15"/>
      <c r="X407" s="15"/>
      <c r="Y407" s="15"/>
      <c r="Z407" s="14"/>
      <c r="AA407" s="14"/>
      <c r="AB407" s="14"/>
      <c r="AC407" s="14"/>
      <c r="AD407" s="13"/>
      <c r="AE407" s="13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</row>
    <row r="408" spans="2:82" s="11" customFormat="1" x14ac:dyDescent="0.25">
      <c r="B408" s="1"/>
      <c r="C408" s="1"/>
      <c r="D408" s="1"/>
      <c r="E408" s="1"/>
      <c r="F408" s="1"/>
      <c r="G408" s="9"/>
      <c r="H408" s="1"/>
      <c r="I408" s="8"/>
      <c r="J408" s="8"/>
      <c r="K408" s="9"/>
      <c r="L408" s="1"/>
      <c r="M408" s="8"/>
      <c r="N408" s="1"/>
      <c r="O408" s="1"/>
      <c r="P408" s="9"/>
      <c r="Q408" s="1"/>
      <c r="R408" s="8"/>
      <c r="S408" s="10"/>
      <c r="T408" s="10"/>
      <c r="U408" s="10"/>
      <c r="V408" s="15"/>
      <c r="W408" s="15"/>
      <c r="X408" s="15"/>
      <c r="Y408" s="15"/>
      <c r="Z408" s="14"/>
      <c r="AA408" s="14"/>
      <c r="AB408" s="14"/>
      <c r="AC408" s="14"/>
      <c r="AD408" s="13"/>
      <c r="AE408" s="13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</row>
    <row r="409" spans="2:82" s="11" customFormat="1" x14ac:dyDescent="0.25">
      <c r="B409" s="1"/>
      <c r="C409" s="1"/>
      <c r="D409" s="1"/>
      <c r="E409" s="1"/>
      <c r="F409" s="1"/>
      <c r="G409" s="9"/>
      <c r="H409" s="1"/>
      <c r="I409" s="8"/>
      <c r="J409" s="8"/>
      <c r="K409" s="9"/>
      <c r="L409" s="1"/>
      <c r="M409" s="8"/>
      <c r="N409" s="1"/>
      <c r="O409" s="1"/>
      <c r="P409" s="9"/>
      <c r="Q409" s="1"/>
      <c r="R409" s="8"/>
      <c r="S409" s="10"/>
      <c r="T409" s="10"/>
      <c r="U409" s="10"/>
      <c r="V409" s="15"/>
      <c r="W409" s="15"/>
      <c r="X409" s="15"/>
      <c r="Y409" s="15"/>
      <c r="Z409" s="14"/>
      <c r="AA409" s="14"/>
      <c r="AB409" s="14"/>
      <c r="AC409" s="14"/>
      <c r="AD409" s="13"/>
      <c r="AE409" s="13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</row>
    <row r="410" spans="2:82" s="11" customFormat="1" x14ac:dyDescent="0.25">
      <c r="B410" s="1"/>
      <c r="C410" s="1"/>
      <c r="D410" s="1"/>
      <c r="E410" s="1"/>
      <c r="F410" s="1"/>
      <c r="G410" s="9"/>
      <c r="H410" s="1"/>
      <c r="I410" s="8"/>
      <c r="J410" s="8"/>
      <c r="K410" s="9"/>
      <c r="L410" s="1"/>
      <c r="M410" s="8"/>
      <c r="N410" s="1"/>
      <c r="O410" s="1"/>
      <c r="P410" s="9"/>
      <c r="Q410" s="1"/>
      <c r="R410" s="8"/>
      <c r="S410" s="10"/>
      <c r="T410" s="10"/>
      <c r="U410" s="10"/>
      <c r="V410" s="15"/>
      <c r="W410" s="15"/>
      <c r="X410" s="15"/>
      <c r="Y410" s="15"/>
      <c r="Z410" s="14"/>
      <c r="AA410" s="14"/>
      <c r="AB410" s="14"/>
      <c r="AC410" s="14"/>
      <c r="AD410" s="13"/>
      <c r="AE410" s="13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</row>
    <row r="411" spans="2:82" s="11" customFormat="1" x14ac:dyDescent="0.25">
      <c r="B411" s="1"/>
      <c r="C411" s="1"/>
      <c r="D411" s="1"/>
      <c r="E411" s="1"/>
      <c r="F411" s="1"/>
      <c r="G411" s="9"/>
      <c r="H411" s="1"/>
      <c r="I411" s="8"/>
      <c r="J411" s="8"/>
      <c r="K411" s="9"/>
      <c r="L411" s="1"/>
      <c r="M411" s="8"/>
      <c r="N411" s="1"/>
      <c r="O411" s="1"/>
      <c r="P411" s="9"/>
      <c r="Q411" s="1"/>
      <c r="R411" s="8"/>
      <c r="S411" s="10"/>
      <c r="T411" s="10"/>
      <c r="U411" s="10"/>
      <c r="V411" s="15"/>
      <c r="W411" s="15"/>
      <c r="X411" s="15"/>
      <c r="Y411" s="15"/>
      <c r="Z411" s="14"/>
      <c r="AA411" s="14"/>
      <c r="AB411" s="14"/>
      <c r="AC411" s="14"/>
      <c r="AD411" s="13"/>
      <c r="AE411" s="13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</row>
    <row r="412" spans="2:82" s="11" customFormat="1" x14ac:dyDescent="0.25">
      <c r="B412" s="1"/>
      <c r="C412" s="1"/>
      <c r="D412" s="1"/>
      <c r="E412" s="1"/>
      <c r="F412" s="1"/>
      <c r="G412" s="9"/>
      <c r="H412" s="1"/>
      <c r="I412" s="8"/>
      <c r="J412" s="8"/>
      <c r="K412" s="9"/>
      <c r="L412" s="1"/>
      <c r="M412" s="8"/>
      <c r="N412" s="1"/>
      <c r="O412" s="1"/>
      <c r="P412" s="9"/>
      <c r="Q412" s="1"/>
      <c r="R412" s="8"/>
      <c r="S412" s="10"/>
      <c r="T412" s="10"/>
      <c r="U412" s="10"/>
      <c r="V412" s="15"/>
      <c r="W412" s="15"/>
      <c r="X412" s="15"/>
      <c r="Y412" s="15"/>
      <c r="Z412" s="14"/>
      <c r="AA412" s="14"/>
      <c r="AB412" s="14"/>
      <c r="AC412" s="14"/>
      <c r="AD412" s="13"/>
      <c r="AE412" s="13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</row>
    <row r="413" spans="2:82" s="11" customFormat="1" x14ac:dyDescent="0.25">
      <c r="B413" s="1"/>
      <c r="C413" s="1"/>
      <c r="D413" s="1"/>
      <c r="E413" s="1"/>
      <c r="F413" s="1"/>
      <c r="G413" s="9"/>
      <c r="H413" s="1"/>
      <c r="I413" s="8"/>
      <c r="J413" s="8"/>
      <c r="K413" s="9"/>
      <c r="L413" s="1"/>
      <c r="M413" s="8"/>
      <c r="N413" s="1"/>
      <c r="O413" s="1"/>
      <c r="P413" s="9"/>
      <c r="Q413" s="1"/>
      <c r="R413" s="8"/>
      <c r="S413" s="10"/>
      <c r="T413" s="10"/>
      <c r="U413" s="10"/>
      <c r="V413" s="15"/>
      <c r="W413" s="15"/>
      <c r="X413" s="15"/>
      <c r="Y413" s="15"/>
      <c r="Z413" s="14"/>
      <c r="AA413" s="14"/>
      <c r="AB413" s="14"/>
      <c r="AC413" s="14"/>
      <c r="AD413" s="13"/>
      <c r="AE413" s="13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</row>
    <row r="414" spans="2:82" s="11" customFormat="1" x14ac:dyDescent="0.25">
      <c r="B414" s="1"/>
      <c r="C414" s="1"/>
      <c r="D414" s="1"/>
      <c r="E414" s="1"/>
      <c r="F414" s="1"/>
      <c r="G414" s="9"/>
      <c r="H414" s="1"/>
      <c r="I414" s="8"/>
      <c r="J414" s="8"/>
      <c r="K414" s="9"/>
      <c r="L414" s="1"/>
      <c r="M414" s="8"/>
      <c r="N414" s="1"/>
      <c r="O414" s="1"/>
      <c r="P414" s="9"/>
      <c r="Q414" s="1"/>
      <c r="R414" s="8"/>
      <c r="S414" s="10"/>
      <c r="T414" s="10"/>
      <c r="U414" s="10"/>
      <c r="V414" s="15"/>
      <c r="W414" s="15"/>
      <c r="X414" s="15"/>
      <c r="Y414" s="15"/>
      <c r="Z414" s="14"/>
      <c r="AA414" s="14"/>
      <c r="AB414" s="14"/>
      <c r="AC414" s="14"/>
      <c r="AD414" s="13"/>
      <c r="AE414" s="13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</row>
    <row r="415" spans="2:82" s="11" customFormat="1" x14ac:dyDescent="0.25">
      <c r="B415" s="1"/>
      <c r="C415" s="1"/>
      <c r="D415" s="1"/>
      <c r="E415" s="1"/>
      <c r="F415" s="1"/>
      <c r="G415" s="9"/>
      <c r="H415" s="1"/>
      <c r="I415" s="8"/>
      <c r="J415" s="8"/>
      <c r="K415" s="9"/>
      <c r="L415" s="1"/>
      <c r="M415" s="8"/>
      <c r="N415" s="1"/>
      <c r="O415" s="1"/>
      <c r="P415" s="9"/>
      <c r="Q415" s="1"/>
      <c r="R415" s="8"/>
      <c r="S415" s="10"/>
      <c r="T415" s="10"/>
      <c r="U415" s="10"/>
      <c r="V415" s="15"/>
      <c r="W415" s="15"/>
      <c r="X415" s="15"/>
      <c r="Y415" s="15"/>
      <c r="Z415" s="14"/>
      <c r="AA415" s="14"/>
      <c r="AB415" s="14"/>
      <c r="AC415" s="14"/>
      <c r="AD415" s="13"/>
      <c r="AE415" s="13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</row>
    <row r="416" spans="2:82" s="11" customFormat="1" x14ac:dyDescent="0.25">
      <c r="B416" s="1"/>
      <c r="C416" s="1"/>
      <c r="D416" s="1"/>
      <c r="E416" s="1"/>
      <c r="F416" s="1"/>
      <c r="G416" s="9"/>
      <c r="H416" s="1"/>
      <c r="I416" s="8"/>
      <c r="J416" s="8"/>
      <c r="K416" s="9"/>
      <c r="L416" s="1"/>
      <c r="M416" s="8"/>
      <c r="N416" s="1"/>
      <c r="O416" s="1"/>
      <c r="P416" s="9"/>
      <c r="Q416" s="1"/>
      <c r="R416" s="8"/>
      <c r="S416" s="10"/>
      <c r="T416" s="10"/>
      <c r="U416" s="10"/>
      <c r="V416" s="15"/>
      <c r="W416" s="15"/>
      <c r="X416" s="15"/>
      <c r="Y416" s="15"/>
      <c r="Z416" s="14"/>
      <c r="AA416" s="14"/>
      <c r="AB416" s="14"/>
      <c r="AC416" s="14"/>
      <c r="AD416" s="13"/>
      <c r="AE416" s="13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</row>
    <row r="417" spans="2:82" s="11" customFormat="1" x14ac:dyDescent="0.25">
      <c r="B417" s="1"/>
      <c r="C417" s="1"/>
      <c r="D417" s="1"/>
      <c r="E417" s="1"/>
      <c r="F417" s="1"/>
      <c r="G417" s="9"/>
      <c r="H417" s="1"/>
      <c r="I417" s="8"/>
      <c r="J417" s="8"/>
      <c r="K417" s="9"/>
      <c r="L417" s="1"/>
      <c r="M417" s="8"/>
      <c r="N417" s="1"/>
      <c r="O417" s="1"/>
      <c r="P417" s="9"/>
      <c r="Q417" s="1"/>
      <c r="R417" s="8"/>
      <c r="S417" s="10"/>
      <c r="T417" s="10"/>
      <c r="U417" s="10"/>
      <c r="V417" s="6"/>
      <c r="W417" s="6"/>
      <c r="X417" s="6"/>
      <c r="Y417" s="6"/>
      <c r="Z417" s="5"/>
      <c r="AA417" s="5"/>
      <c r="AB417" s="5"/>
      <c r="AC417" s="5"/>
      <c r="AD417" s="4"/>
      <c r="AE417" s="4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</row>
    <row r="418" spans="2:82" s="11" customFormat="1" x14ac:dyDescent="0.25">
      <c r="B418" s="1"/>
      <c r="C418" s="1"/>
      <c r="D418" s="1"/>
      <c r="E418" s="1"/>
      <c r="F418" s="1"/>
      <c r="G418" s="9"/>
      <c r="H418" s="1"/>
      <c r="I418" s="8"/>
      <c r="J418" s="8"/>
      <c r="K418" s="9"/>
      <c r="L418" s="1"/>
      <c r="M418" s="8"/>
      <c r="N418" s="1"/>
      <c r="O418" s="1"/>
      <c r="P418" s="9"/>
      <c r="Q418" s="1"/>
      <c r="R418" s="8"/>
      <c r="S418" s="10"/>
      <c r="T418" s="10"/>
      <c r="U418" s="10"/>
      <c r="V418" s="6"/>
      <c r="W418" s="6"/>
      <c r="X418" s="6"/>
      <c r="Y418" s="6"/>
      <c r="Z418" s="5"/>
      <c r="AA418" s="5"/>
      <c r="AB418" s="5"/>
      <c r="AC418" s="5"/>
      <c r="AD418" s="4"/>
      <c r="AE418" s="4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</row>
    <row r="419" spans="2:82" s="11" customFormat="1" x14ac:dyDescent="0.25">
      <c r="B419" s="1"/>
      <c r="C419" s="1"/>
      <c r="D419" s="1"/>
      <c r="E419" s="1"/>
      <c r="F419" s="1"/>
      <c r="G419" s="9"/>
      <c r="H419" s="1"/>
      <c r="I419" s="8"/>
      <c r="J419" s="8"/>
      <c r="K419" s="9"/>
      <c r="L419" s="1"/>
      <c r="M419" s="8"/>
      <c r="N419" s="1"/>
      <c r="O419" s="1"/>
      <c r="P419" s="9"/>
      <c r="Q419" s="1"/>
      <c r="R419" s="8"/>
      <c r="S419" s="10"/>
      <c r="T419" s="10"/>
      <c r="U419" s="10"/>
      <c r="V419" s="15"/>
      <c r="W419" s="15"/>
      <c r="X419" s="15"/>
      <c r="Y419" s="15"/>
      <c r="Z419" s="14"/>
      <c r="AA419" s="14"/>
      <c r="AB419" s="14"/>
      <c r="AC419" s="14"/>
      <c r="AD419" s="13"/>
      <c r="AE419" s="13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</row>
    <row r="420" spans="2:82" s="11" customFormat="1" x14ac:dyDescent="0.25">
      <c r="B420" s="1"/>
      <c r="C420" s="1"/>
      <c r="D420" s="1"/>
      <c r="E420" s="1"/>
      <c r="F420" s="1"/>
      <c r="G420" s="9"/>
      <c r="H420" s="1"/>
      <c r="I420" s="8"/>
      <c r="J420" s="8"/>
      <c r="K420" s="9"/>
      <c r="L420" s="1"/>
      <c r="M420" s="8"/>
      <c r="N420" s="1"/>
      <c r="O420" s="1"/>
      <c r="P420" s="9"/>
      <c r="Q420" s="1"/>
      <c r="R420" s="8"/>
      <c r="S420" s="10"/>
      <c r="T420" s="10"/>
      <c r="U420" s="10"/>
      <c r="V420" s="15"/>
      <c r="W420" s="15"/>
      <c r="X420" s="15"/>
      <c r="Y420" s="15"/>
      <c r="Z420" s="14"/>
      <c r="AA420" s="14"/>
      <c r="AB420" s="14"/>
      <c r="AC420" s="14"/>
      <c r="AD420" s="13"/>
      <c r="AE420" s="13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</row>
    <row r="421" spans="2:82" s="11" customFormat="1" x14ac:dyDescent="0.25">
      <c r="B421" s="1"/>
      <c r="C421" s="1"/>
      <c r="D421" s="1"/>
      <c r="E421" s="1"/>
      <c r="F421" s="1"/>
      <c r="G421" s="9"/>
      <c r="H421" s="1"/>
      <c r="I421" s="8"/>
      <c r="J421" s="8"/>
      <c r="K421" s="9"/>
      <c r="L421" s="1"/>
      <c r="M421" s="8"/>
      <c r="N421" s="1"/>
      <c r="O421" s="1"/>
      <c r="P421" s="9"/>
      <c r="Q421" s="1"/>
      <c r="R421" s="8"/>
      <c r="S421" s="10"/>
      <c r="T421" s="10"/>
      <c r="U421" s="10"/>
      <c r="V421" s="15"/>
      <c r="W421" s="15"/>
      <c r="X421" s="15"/>
      <c r="Y421" s="15"/>
      <c r="Z421" s="14"/>
      <c r="AA421" s="14"/>
      <c r="AB421" s="14"/>
      <c r="AC421" s="14"/>
      <c r="AD421" s="13"/>
      <c r="AE421" s="13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</row>
    <row r="422" spans="2:82" s="11" customFormat="1" x14ac:dyDescent="0.25">
      <c r="B422" s="1"/>
      <c r="C422" s="1"/>
      <c r="D422" s="1"/>
      <c r="E422" s="1"/>
      <c r="F422" s="1"/>
      <c r="G422" s="9"/>
      <c r="H422" s="1"/>
      <c r="I422" s="8"/>
      <c r="J422" s="8"/>
      <c r="K422" s="9"/>
      <c r="L422" s="1"/>
      <c r="M422" s="8"/>
      <c r="N422" s="1"/>
      <c r="O422" s="1"/>
      <c r="P422" s="9"/>
      <c r="Q422" s="1"/>
      <c r="R422" s="8"/>
      <c r="S422" s="10"/>
      <c r="T422" s="10"/>
      <c r="U422" s="10"/>
      <c r="V422" s="15"/>
      <c r="W422" s="15"/>
      <c r="X422" s="15"/>
      <c r="Y422" s="15"/>
      <c r="Z422" s="14"/>
      <c r="AA422" s="14"/>
      <c r="AB422" s="14"/>
      <c r="AC422" s="14"/>
      <c r="AD422" s="13"/>
      <c r="AE422" s="13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</row>
    <row r="423" spans="2:82" s="11" customFormat="1" x14ac:dyDescent="0.25">
      <c r="B423" s="1"/>
      <c r="C423" s="1"/>
      <c r="D423" s="1"/>
      <c r="E423" s="1"/>
      <c r="F423" s="1"/>
      <c r="G423" s="9"/>
      <c r="H423" s="1"/>
      <c r="I423" s="8"/>
      <c r="J423" s="8"/>
      <c r="K423" s="9"/>
      <c r="L423" s="1"/>
      <c r="M423" s="8"/>
      <c r="N423" s="1"/>
      <c r="O423" s="1"/>
      <c r="P423" s="9"/>
      <c r="Q423" s="1"/>
      <c r="R423" s="8"/>
      <c r="S423" s="10"/>
      <c r="T423" s="10"/>
      <c r="U423" s="10"/>
      <c r="V423" s="15"/>
      <c r="W423" s="15"/>
      <c r="X423" s="15"/>
      <c r="Y423" s="15"/>
      <c r="Z423" s="14"/>
      <c r="AA423" s="14"/>
      <c r="AB423" s="14"/>
      <c r="AC423" s="14"/>
      <c r="AD423" s="13"/>
      <c r="AE423" s="13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</row>
    <row r="424" spans="2:82" s="11" customFormat="1" x14ac:dyDescent="0.25">
      <c r="B424" s="1"/>
      <c r="C424" s="1"/>
      <c r="D424" s="1"/>
      <c r="E424" s="1"/>
      <c r="F424" s="1"/>
      <c r="G424" s="9"/>
      <c r="H424" s="1"/>
      <c r="I424" s="8"/>
      <c r="J424" s="8"/>
      <c r="K424" s="9"/>
      <c r="L424" s="1"/>
      <c r="M424" s="8"/>
      <c r="N424" s="1"/>
      <c r="O424" s="1"/>
      <c r="P424" s="9"/>
      <c r="Q424" s="1"/>
      <c r="R424" s="8"/>
      <c r="S424" s="10"/>
      <c r="T424" s="10"/>
      <c r="U424" s="10"/>
      <c r="V424" s="15"/>
      <c r="W424" s="15"/>
      <c r="X424" s="15"/>
      <c r="Y424" s="15"/>
      <c r="Z424" s="14"/>
      <c r="AA424" s="14"/>
      <c r="AB424" s="14"/>
      <c r="AC424" s="14"/>
      <c r="AD424" s="13"/>
      <c r="AE424" s="13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</row>
    <row r="425" spans="2:82" s="11" customFormat="1" x14ac:dyDescent="0.25">
      <c r="B425" s="1"/>
      <c r="C425" s="1"/>
      <c r="D425" s="1"/>
      <c r="E425" s="1"/>
      <c r="F425" s="1"/>
      <c r="G425" s="9"/>
      <c r="H425" s="1"/>
      <c r="I425" s="8"/>
      <c r="J425" s="8"/>
      <c r="K425" s="9"/>
      <c r="L425" s="1"/>
      <c r="M425" s="8"/>
      <c r="N425" s="1"/>
      <c r="O425" s="1"/>
      <c r="P425" s="9"/>
      <c r="Q425" s="1"/>
      <c r="R425" s="8"/>
      <c r="S425" s="10"/>
      <c r="T425" s="10"/>
      <c r="U425" s="10"/>
      <c r="V425" s="15"/>
      <c r="W425" s="15"/>
      <c r="X425" s="15"/>
      <c r="Y425" s="15"/>
      <c r="Z425" s="14"/>
      <c r="AA425" s="14"/>
      <c r="AB425" s="14"/>
      <c r="AC425" s="14"/>
      <c r="AD425" s="13"/>
      <c r="AE425" s="13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</row>
    <row r="426" spans="2:82" s="11" customFormat="1" x14ac:dyDescent="0.25">
      <c r="B426" s="1"/>
      <c r="C426" s="1"/>
      <c r="D426" s="1"/>
      <c r="E426" s="1"/>
      <c r="F426" s="1"/>
      <c r="G426" s="9"/>
      <c r="H426" s="1"/>
      <c r="I426" s="8"/>
      <c r="J426" s="8"/>
      <c r="K426" s="9"/>
      <c r="L426" s="1"/>
      <c r="M426" s="8"/>
      <c r="N426" s="1"/>
      <c r="O426" s="1"/>
      <c r="P426" s="9"/>
      <c r="Q426" s="1"/>
      <c r="R426" s="8"/>
      <c r="S426" s="10"/>
      <c r="T426" s="10"/>
      <c r="U426" s="10"/>
      <c r="V426" s="15"/>
      <c r="W426" s="15"/>
      <c r="X426" s="15"/>
      <c r="Y426" s="15"/>
      <c r="Z426" s="14"/>
      <c r="AA426" s="14"/>
      <c r="AB426" s="14"/>
      <c r="AC426" s="14"/>
      <c r="AD426" s="13"/>
      <c r="AE426" s="13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</row>
    <row r="427" spans="2:82" s="11" customFormat="1" x14ac:dyDescent="0.25">
      <c r="B427" s="1"/>
      <c r="C427" s="1"/>
      <c r="D427" s="1"/>
      <c r="E427" s="1"/>
      <c r="F427" s="1"/>
      <c r="G427" s="9"/>
      <c r="H427" s="1"/>
      <c r="I427" s="8"/>
      <c r="J427" s="8"/>
      <c r="K427" s="9"/>
      <c r="L427" s="1"/>
      <c r="M427" s="8"/>
      <c r="N427" s="1"/>
      <c r="O427" s="1"/>
      <c r="P427" s="9"/>
      <c r="Q427" s="1"/>
      <c r="R427" s="8"/>
      <c r="S427" s="10"/>
      <c r="T427" s="10"/>
      <c r="U427" s="10"/>
      <c r="V427" s="15"/>
      <c r="W427" s="15"/>
      <c r="X427" s="15"/>
      <c r="Y427" s="15"/>
      <c r="Z427" s="14"/>
      <c r="AA427" s="14"/>
      <c r="AB427" s="14"/>
      <c r="AC427" s="14"/>
      <c r="AD427" s="13"/>
      <c r="AE427" s="13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</row>
    <row r="428" spans="2:82" s="11" customFormat="1" x14ac:dyDescent="0.25">
      <c r="B428" s="1"/>
      <c r="C428" s="1"/>
      <c r="D428" s="1"/>
      <c r="E428" s="1"/>
      <c r="F428" s="1"/>
      <c r="G428" s="9"/>
      <c r="H428" s="1"/>
      <c r="I428" s="8"/>
      <c r="J428" s="8"/>
      <c r="K428" s="9"/>
      <c r="L428" s="1"/>
      <c r="M428" s="8"/>
      <c r="N428" s="1"/>
      <c r="O428" s="1"/>
      <c r="P428" s="9"/>
      <c r="Q428" s="1"/>
      <c r="R428" s="8"/>
      <c r="S428" s="10"/>
      <c r="T428" s="10"/>
      <c r="U428" s="10"/>
      <c r="V428" s="15"/>
      <c r="W428" s="15"/>
      <c r="X428" s="15"/>
      <c r="Y428" s="15"/>
      <c r="Z428" s="14"/>
      <c r="AA428" s="14"/>
      <c r="AB428" s="14"/>
      <c r="AC428" s="14"/>
      <c r="AD428" s="13"/>
      <c r="AE428" s="13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</row>
    <row r="429" spans="2:82" s="11" customFormat="1" x14ac:dyDescent="0.25">
      <c r="B429" s="1"/>
      <c r="C429" s="1"/>
      <c r="D429" s="1"/>
      <c r="E429" s="1"/>
      <c r="F429" s="1"/>
      <c r="G429" s="9"/>
      <c r="H429" s="1"/>
      <c r="I429" s="8"/>
      <c r="J429" s="8"/>
      <c r="K429" s="9"/>
      <c r="L429" s="1"/>
      <c r="M429" s="8"/>
      <c r="N429" s="1"/>
      <c r="O429" s="1"/>
      <c r="P429" s="9"/>
      <c r="Q429" s="1"/>
      <c r="R429" s="8"/>
      <c r="S429" s="10"/>
      <c r="T429" s="10"/>
      <c r="U429" s="10"/>
      <c r="V429" s="6"/>
      <c r="W429" s="6"/>
      <c r="X429" s="6"/>
      <c r="Y429" s="6"/>
      <c r="Z429" s="5"/>
      <c r="AA429" s="5"/>
      <c r="AB429" s="5"/>
      <c r="AC429" s="5"/>
      <c r="AD429" s="4"/>
      <c r="AE429" s="4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</row>
    <row r="430" spans="2:82" s="11" customFormat="1" x14ac:dyDescent="0.25">
      <c r="B430" s="1"/>
      <c r="C430" s="1"/>
      <c r="D430" s="1"/>
      <c r="E430" s="1"/>
      <c r="F430" s="1"/>
      <c r="G430" s="9"/>
      <c r="H430" s="1"/>
      <c r="I430" s="8"/>
      <c r="J430" s="8"/>
      <c r="K430" s="9"/>
      <c r="L430" s="1"/>
      <c r="M430" s="8"/>
      <c r="N430" s="1"/>
      <c r="O430" s="1"/>
      <c r="P430" s="9"/>
      <c r="Q430" s="1"/>
      <c r="R430" s="8"/>
      <c r="S430" s="10"/>
      <c r="T430" s="10"/>
      <c r="U430" s="10"/>
      <c r="V430" s="6"/>
      <c r="W430" s="6"/>
      <c r="X430" s="6"/>
      <c r="Y430" s="6"/>
      <c r="Z430" s="5"/>
      <c r="AA430" s="5"/>
      <c r="AB430" s="5"/>
      <c r="AC430" s="5"/>
      <c r="AD430" s="4"/>
      <c r="AE430" s="4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</row>
    <row r="431" spans="2:82" s="11" customFormat="1" x14ac:dyDescent="0.25">
      <c r="B431" s="1"/>
      <c r="C431" s="1"/>
      <c r="D431" s="1"/>
      <c r="E431" s="1"/>
      <c r="F431" s="1"/>
      <c r="G431" s="9"/>
      <c r="H431" s="1"/>
      <c r="I431" s="8"/>
      <c r="J431" s="8"/>
      <c r="K431" s="9"/>
      <c r="L431" s="1"/>
      <c r="M431" s="8"/>
      <c r="N431" s="1"/>
      <c r="O431" s="1"/>
      <c r="P431" s="9"/>
      <c r="Q431" s="1"/>
      <c r="R431" s="8"/>
      <c r="S431" s="10"/>
      <c r="T431" s="10"/>
      <c r="U431" s="10"/>
      <c r="V431" s="15"/>
      <c r="W431" s="15"/>
      <c r="X431" s="15"/>
      <c r="Y431" s="15"/>
      <c r="Z431" s="14"/>
      <c r="AA431" s="14"/>
      <c r="AB431" s="14"/>
      <c r="AC431" s="14"/>
      <c r="AD431" s="13"/>
      <c r="AE431" s="13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</row>
    <row r="432" spans="2:82" s="11" customFormat="1" x14ac:dyDescent="0.25">
      <c r="B432" s="1"/>
      <c r="C432" s="1"/>
      <c r="D432" s="1"/>
      <c r="E432" s="1"/>
      <c r="F432" s="1"/>
      <c r="G432" s="9"/>
      <c r="H432" s="1"/>
      <c r="I432" s="8"/>
      <c r="J432" s="8"/>
      <c r="K432" s="9"/>
      <c r="L432" s="1"/>
      <c r="M432" s="8"/>
      <c r="N432" s="1"/>
      <c r="O432" s="1"/>
      <c r="P432" s="9"/>
      <c r="Q432" s="1"/>
      <c r="R432" s="8"/>
      <c r="S432" s="10"/>
      <c r="T432" s="10"/>
      <c r="U432" s="10"/>
      <c r="V432" s="15"/>
      <c r="W432" s="15"/>
      <c r="X432" s="15"/>
      <c r="Y432" s="15"/>
      <c r="Z432" s="14"/>
      <c r="AA432" s="14"/>
      <c r="AB432" s="14"/>
      <c r="AC432" s="14"/>
      <c r="AD432" s="13"/>
      <c r="AE432" s="13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</row>
    <row r="433" spans="2:82" s="11" customFormat="1" x14ac:dyDescent="0.25">
      <c r="B433" s="1"/>
      <c r="C433" s="1"/>
      <c r="D433" s="1"/>
      <c r="E433" s="1"/>
      <c r="F433" s="1"/>
      <c r="G433" s="9"/>
      <c r="H433" s="1"/>
      <c r="I433" s="8"/>
      <c r="J433" s="8"/>
      <c r="K433" s="9"/>
      <c r="L433" s="1"/>
      <c r="M433" s="8"/>
      <c r="N433" s="1"/>
      <c r="O433" s="1"/>
      <c r="P433" s="9"/>
      <c r="Q433" s="1"/>
      <c r="R433" s="8"/>
      <c r="S433" s="10"/>
      <c r="T433" s="10"/>
      <c r="U433" s="10"/>
      <c r="V433" s="15"/>
      <c r="W433" s="15"/>
      <c r="X433" s="15"/>
      <c r="Y433" s="15"/>
      <c r="Z433" s="14"/>
      <c r="AA433" s="14"/>
      <c r="AB433" s="14"/>
      <c r="AC433" s="14"/>
      <c r="AD433" s="13"/>
      <c r="AE433" s="13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</row>
    <row r="434" spans="2:82" s="11" customFormat="1" x14ac:dyDescent="0.25">
      <c r="B434" s="1"/>
      <c r="C434" s="1"/>
      <c r="D434" s="1"/>
      <c r="E434" s="1"/>
      <c r="F434" s="1"/>
      <c r="G434" s="9"/>
      <c r="H434" s="1"/>
      <c r="I434" s="8"/>
      <c r="J434" s="8"/>
      <c r="K434" s="9"/>
      <c r="L434" s="1"/>
      <c r="M434" s="8"/>
      <c r="N434" s="1"/>
      <c r="O434" s="1"/>
      <c r="P434" s="9"/>
      <c r="Q434" s="1"/>
      <c r="R434" s="8"/>
      <c r="S434" s="10"/>
      <c r="T434" s="10"/>
      <c r="U434" s="10"/>
      <c r="V434" s="15"/>
      <c r="W434" s="15"/>
      <c r="X434" s="15"/>
      <c r="Y434" s="15"/>
      <c r="Z434" s="14"/>
      <c r="AA434" s="14"/>
      <c r="AB434" s="14"/>
      <c r="AC434" s="14"/>
      <c r="AD434" s="13"/>
      <c r="AE434" s="13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</row>
    <row r="435" spans="2:82" x14ac:dyDescent="0.25">
      <c r="S435" s="10"/>
      <c r="T435" s="10"/>
      <c r="U435" s="10"/>
    </row>
    <row r="436" spans="2:82" x14ac:dyDescent="0.25">
      <c r="S436" s="10"/>
      <c r="T436" s="10"/>
      <c r="U436" s="10"/>
    </row>
    <row r="437" spans="2:82" x14ac:dyDescent="0.25">
      <c r="S437" s="10"/>
      <c r="T437" s="10"/>
      <c r="U437" s="10"/>
    </row>
    <row r="438" spans="2:82" x14ac:dyDescent="0.25">
      <c r="S438" s="10"/>
      <c r="T438" s="10"/>
      <c r="U438" s="10"/>
    </row>
    <row r="439" spans="2:82" x14ac:dyDescent="0.25">
      <c r="S439" s="10"/>
      <c r="T439" s="10"/>
      <c r="U439" s="10"/>
    </row>
    <row r="440" spans="2:82" x14ac:dyDescent="0.25">
      <c r="S440" s="10"/>
      <c r="T440" s="10"/>
      <c r="U440" s="10"/>
    </row>
    <row r="441" spans="2:82" x14ac:dyDescent="0.25">
      <c r="S441" s="10"/>
      <c r="T441" s="10"/>
      <c r="U441" s="10"/>
    </row>
    <row r="442" spans="2:82" x14ac:dyDescent="0.25">
      <c r="S442" s="10"/>
      <c r="T442" s="10"/>
      <c r="U442" s="10"/>
    </row>
    <row r="443" spans="2:82" x14ac:dyDescent="0.25">
      <c r="S443" s="10"/>
      <c r="T443" s="10"/>
      <c r="U443" s="10"/>
    </row>
    <row r="444" spans="2:82" x14ac:dyDescent="0.25">
      <c r="S444" s="10"/>
      <c r="T444" s="10"/>
      <c r="U444" s="10"/>
    </row>
    <row r="445" spans="2:82" x14ac:dyDescent="0.25">
      <c r="S445" s="10"/>
      <c r="T445" s="10"/>
      <c r="U445" s="10"/>
    </row>
    <row r="446" spans="2:82" x14ac:dyDescent="0.25">
      <c r="S446" s="10"/>
      <c r="T446" s="10"/>
      <c r="U446" s="10"/>
    </row>
    <row r="447" spans="2:82" x14ac:dyDescent="0.25">
      <c r="S447" s="10"/>
      <c r="T447" s="10"/>
      <c r="U447" s="10"/>
    </row>
    <row r="448" spans="2:82" x14ac:dyDescent="0.25">
      <c r="S448" s="10"/>
      <c r="T448" s="10"/>
      <c r="U448" s="10"/>
    </row>
    <row r="449" spans="19:21" x14ac:dyDescent="0.25">
      <c r="S449" s="10"/>
      <c r="T449" s="10"/>
      <c r="U449" s="10"/>
    </row>
    <row r="450" spans="19:21" x14ac:dyDescent="0.25">
      <c r="S450" s="10"/>
      <c r="T450" s="10"/>
      <c r="U450" s="10"/>
    </row>
    <row r="451" spans="19:21" x14ac:dyDescent="0.25">
      <c r="S451" s="10"/>
      <c r="T451" s="10"/>
      <c r="U451" s="10"/>
    </row>
    <row r="452" spans="19:21" x14ac:dyDescent="0.25">
      <c r="S452" s="10"/>
      <c r="T452" s="10"/>
      <c r="U452" s="10"/>
    </row>
    <row r="453" spans="19:21" x14ac:dyDescent="0.25">
      <c r="S453" s="10"/>
      <c r="T453" s="10"/>
      <c r="U453" s="10"/>
    </row>
    <row r="454" spans="19:21" x14ac:dyDescent="0.25">
      <c r="S454" s="10"/>
      <c r="T454" s="10"/>
      <c r="U454" s="10"/>
    </row>
    <row r="455" spans="19:21" x14ac:dyDescent="0.25">
      <c r="S455" s="10"/>
      <c r="T455" s="10"/>
      <c r="U455" s="10"/>
    </row>
    <row r="456" spans="19:21" x14ac:dyDescent="0.25">
      <c r="S456" s="10"/>
      <c r="T456" s="10"/>
      <c r="U456" s="10"/>
    </row>
    <row r="457" spans="19:21" x14ac:dyDescent="0.25">
      <c r="S457" s="10"/>
      <c r="T457" s="10"/>
      <c r="U457" s="10"/>
    </row>
    <row r="458" spans="19:21" x14ac:dyDescent="0.25">
      <c r="S458" s="10"/>
      <c r="T458" s="10"/>
      <c r="U458" s="10"/>
    </row>
    <row r="459" spans="19:21" x14ac:dyDescent="0.25">
      <c r="S459" s="10"/>
      <c r="T459" s="10"/>
      <c r="U459" s="10"/>
    </row>
    <row r="460" spans="19:21" x14ac:dyDescent="0.25">
      <c r="S460" s="10"/>
      <c r="T460" s="10"/>
      <c r="U460" s="10"/>
    </row>
    <row r="461" spans="19:21" x14ac:dyDescent="0.25">
      <c r="S461" s="10"/>
      <c r="T461" s="10"/>
      <c r="U461" s="10"/>
    </row>
    <row r="462" spans="19:21" x14ac:dyDescent="0.25">
      <c r="S462" s="10"/>
      <c r="T462" s="10"/>
      <c r="U462" s="10"/>
    </row>
    <row r="463" spans="19:21" x14ac:dyDescent="0.25">
      <c r="S463" s="10"/>
      <c r="T463" s="10"/>
      <c r="U463" s="10"/>
    </row>
    <row r="464" spans="19:21" x14ac:dyDescent="0.25">
      <c r="S464" s="10"/>
      <c r="T464" s="10"/>
      <c r="U464" s="10"/>
    </row>
    <row r="465" spans="19:21" x14ac:dyDescent="0.25">
      <c r="S465" s="10"/>
      <c r="T465" s="10"/>
      <c r="U465" s="10"/>
    </row>
    <row r="466" spans="19:21" x14ac:dyDescent="0.25">
      <c r="S466" s="10"/>
      <c r="T466" s="10"/>
      <c r="U466" s="10"/>
    </row>
    <row r="467" spans="19:21" x14ac:dyDescent="0.25">
      <c r="S467" s="10"/>
      <c r="T467" s="10"/>
      <c r="U467" s="10"/>
    </row>
    <row r="468" spans="19:21" x14ac:dyDescent="0.25">
      <c r="S468" s="10"/>
      <c r="T468" s="10"/>
      <c r="U468" s="10"/>
    </row>
    <row r="469" spans="19:21" x14ac:dyDescent="0.25">
      <c r="S469" s="10"/>
      <c r="T469" s="10"/>
      <c r="U469" s="10"/>
    </row>
    <row r="470" spans="19:21" x14ac:dyDescent="0.25">
      <c r="S470" s="10"/>
      <c r="T470" s="10"/>
      <c r="U470" s="10"/>
    </row>
    <row r="471" spans="19:21" x14ac:dyDescent="0.25">
      <c r="S471" s="10"/>
      <c r="T471" s="10"/>
      <c r="U471" s="10"/>
    </row>
    <row r="472" spans="19:21" x14ac:dyDescent="0.25">
      <c r="S472" s="10"/>
      <c r="T472" s="10"/>
      <c r="U472" s="10"/>
    </row>
    <row r="473" spans="19:21" x14ac:dyDescent="0.25">
      <c r="S473" s="10"/>
      <c r="T473" s="10"/>
      <c r="U473" s="10"/>
    </row>
    <row r="474" spans="19:21" x14ac:dyDescent="0.25">
      <c r="S474" s="10"/>
      <c r="T474" s="10"/>
      <c r="U474" s="10"/>
    </row>
    <row r="475" spans="19:21" x14ac:dyDescent="0.25">
      <c r="S475" s="10"/>
      <c r="T475" s="10"/>
      <c r="U475" s="10"/>
    </row>
    <row r="476" spans="19:21" x14ac:dyDescent="0.25">
      <c r="S476" s="10"/>
      <c r="T476" s="10"/>
      <c r="U476" s="10"/>
    </row>
    <row r="477" spans="19:21" x14ac:dyDescent="0.25">
      <c r="S477" s="10"/>
      <c r="T477" s="10"/>
      <c r="U477" s="10"/>
    </row>
    <row r="478" spans="19:21" x14ac:dyDescent="0.25">
      <c r="S478" s="10"/>
      <c r="T478" s="10"/>
      <c r="U478" s="10"/>
    </row>
    <row r="479" spans="19:21" x14ac:dyDescent="0.25">
      <c r="S479" s="10"/>
      <c r="T479" s="10"/>
      <c r="U479" s="10"/>
    </row>
    <row r="480" spans="19:21" x14ac:dyDescent="0.25">
      <c r="S480" s="10"/>
      <c r="T480" s="10"/>
      <c r="U480" s="10"/>
    </row>
    <row r="481" spans="19:21" x14ac:dyDescent="0.25">
      <c r="S481" s="10"/>
      <c r="T481" s="10"/>
      <c r="U481" s="10"/>
    </row>
    <row r="482" spans="19:21" x14ac:dyDescent="0.25">
      <c r="S482" s="10"/>
      <c r="T482" s="10"/>
      <c r="U482" s="10"/>
    </row>
    <row r="483" spans="19:21" x14ac:dyDescent="0.25">
      <c r="S483" s="10"/>
      <c r="T483" s="10"/>
      <c r="U483" s="10"/>
    </row>
    <row r="484" spans="19:21" x14ac:dyDescent="0.25">
      <c r="S484" s="10"/>
      <c r="T484" s="10"/>
      <c r="U484" s="10"/>
    </row>
    <row r="485" spans="19:21" x14ac:dyDescent="0.25">
      <c r="S485" s="10"/>
      <c r="T485" s="10"/>
      <c r="U485" s="10"/>
    </row>
    <row r="486" spans="19:21" x14ac:dyDescent="0.25">
      <c r="S486" s="10"/>
      <c r="T486" s="10"/>
      <c r="U486" s="10"/>
    </row>
    <row r="487" spans="19:21" x14ac:dyDescent="0.25">
      <c r="S487" s="10"/>
      <c r="T487" s="10"/>
      <c r="U487" s="10"/>
    </row>
    <row r="488" spans="19:21" x14ac:dyDescent="0.25">
      <c r="S488" s="10"/>
      <c r="T488" s="10"/>
      <c r="U488" s="10"/>
    </row>
    <row r="489" spans="19:21" x14ac:dyDescent="0.25">
      <c r="S489" s="10"/>
      <c r="T489" s="10"/>
      <c r="U489" s="10"/>
    </row>
    <row r="490" spans="19:21" x14ac:dyDescent="0.25">
      <c r="S490" s="10"/>
      <c r="T490" s="10"/>
      <c r="U490" s="10"/>
    </row>
    <row r="491" spans="19:21" x14ac:dyDescent="0.25">
      <c r="S491" s="10"/>
      <c r="T491" s="10"/>
      <c r="U491" s="10"/>
    </row>
    <row r="492" spans="19:21" x14ac:dyDescent="0.25">
      <c r="S492" s="10"/>
      <c r="T492" s="10"/>
      <c r="U492" s="10"/>
    </row>
    <row r="493" spans="19:21" x14ac:dyDescent="0.25">
      <c r="S493" s="10"/>
      <c r="T493" s="10"/>
      <c r="U493" s="10"/>
    </row>
    <row r="494" spans="19:21" x14ac:dyDescent="0.25">
      <c r="S494" s="10"/>
      <c r="T494" s="10"/>
      <c r="U494" s="10"/>
    </row>
    <row r="495" spans="19:21" x14ac:dyDescent="0.25">
      <c r="S495" s="10"/>
      <c r="T495" s="10"/>
      <c r="U495" s="10"/>
    </row>
    <row r="496" spans="19:21" x14ac:dyDescent="0.25">
      <c r="S496" s="10"/>
      <c r="T496" s="10"/>
      <c r="U496" s="10"/>
    </row>
    <row r="497" spans="19:21" x14ac:dyDescent="0.25">
      <c r="S497" s="10"/>
      <c r="T497" s="10"/>
      <c r="U497" s="10"/>
    </row>
    <row r="498" spans="19:21" x14ac:dyDescent="0.25">
      <c r="S498" s="10"/>
      <c r="T498" s="10"/>
      <c r="U498" s="10"/>
    </row>
    <row r="499" spans="19:21" x14ac:dyDescent="0.25">
      <c r="S499" s="10"/>
      <c r="T499" s="10"/>
      <c r="U499" s="10"/>
    </row>
    <row r="500" spans="19:21" x14ac:dyDescent="0.25">
      <c r="S500" s="10"/>
      <c r="T500" s="10"/>
      <c r="U500" s="10"/>
    </row>
    <row r="501" spans="19:21" x14ac:dyDescent="0.25">
      <c r="S501" s="10"/>
      <c r="T501" s="10"/>
      <c r="U501" s="10"/>
    </row>
    <row r="502" spans="19:21" x14ac:dyDescent="0.25">
      <c r="S502" s="10"/>
      <c r="T502" s="10"/>
      <c r="U502" s="10"/>
    </row>
    <row r="503" spans="19:21" x14ac:dyDescent="0.25">
      <c r="S503" s="10"/>
      <c r="T503" s="10"/>
      <c r="U503" s="10"/>
    </row>
    <row r="504" spans="19:21" x14ac:dyDescent="0.25">
      <c r="S504" s="10"/>
      <c r="T504" s="10"/>
      <c r="U504" s="10"/>
    </row>
    <row r="505" spans="19:21" x14ac:dyDescent="0.25">
      <c r="S505" s="10"/>
      <c r="T505" s="10"/>
      <c r="U505" s="10"/>
    </row>
    <row r="506" spans="19:21" x14ac:dyDescent="0.25">
      <c r="S506" s="10"/>
      <c r="T506" s="10"/>
      <c r="U506" s="10"/>
    </row>
    <row r="507" spans="19:21" x14ac:dyDescent="0.25">
      <c r="S507" s="10"/>
      <c r="T507" s="10"/>
      <c r="U507" s="10"/>
    </row>
    <row r="508" spans="19:21" x14ac:dyDescent="0.25">
      <c r="S508" s="10"/>
      <c r="T508" s="10"/>
      <c r="U508" s="10"/>
    </row>
    <row r="509" spans="19:21" x14ac:dyDescent="0.25">
      <c r="S509" s="10"/>
      <c r="T509" s="10"/>
      <c r="U509" s="10"/>
    </row>
    <row r="510" spans="19:21" x14ac:dyDescent="0.25">
      <c r="S510" s="10"/>
      <c r="T510" s="10"/>
      <c r="U510" s="10"/>
    </row>
    <row r="511" spans="19:21" x14ac:dyDescent="0.25">
      <c r="S511" s="10"/>
      <c r="T511" s="10"/>
      <c r="U511" s="10"/>
    </row>
    <row r="512" spans="19:21" x14ac:dyDescent="0.25">
      <c r="S512" s="10"/>
      <c r="T512" s="10"/>
      <c r="U512" s="10"/>
    </row>
    <row r="513" spans="19:21" x14ac:dyDescent="0.25">
      <c r="S513" s="10"/>
      <c r="T513" s="10"/>
      <c r="U513" s="10"/>
    </row>
    <row r="514" spans="19:21" x14ac:dyDescent="0.25">
      <c r="S514" s="10"/>
      <c r="T514" s="10"/>
      <c r="U514" s="10"/>
    </row>
    <row r="515" spans="19:21" x14ac:dyDescent="0.25">
      <c r="S515" s="10"/>
      <c r="T515" s="10"/>
      <c r="U515" s="10"/>
    </row>
    <row r="516" spans="19:21" x14ac:dyDescent="0.25">
      <c r="S516" s="10"/>
      <c r="T516" s="10"/>
      <c r="U516" s="10"/>
    </row>
    <row r="517" spans="19:21" x14ac:dyDescent="0.25">
      <c r="S517" s="10"/>
      <c r="T517" s="10"/>
      <c r="U517" s="10"/>
    </row>
    <row r="518" spans="19:21" x14ac:dyDescent="0.25">
      <c r="S518" s="10"/>
      <c r="T518" s="10"/>
      <c r="U518" s="10"/>
    </row>
    <row r="519" spans="19:21" x14ac:dyDescent="0.25">
      <c r="S519" s="10"/>
      <c r="T519" s="10"/>
      <c r="U519" s="10"/>
    </row>
    <row r="520" spans="19:21" x14ac:dyDescent="0.25">
      <c r="S520" s="10"/>
      <c r="T520" s="10"/>
      <c r="U520" s="10"/>
    </row>
    <row r="521" spans="19:21" x14ac:dyDescent="0.25">
      <c r="S521" s="10"/>
      <c r="T521" s="10"/>
      <c r="U521" s="10"/>
    </row>
    <row r="522" spans="19:21" x14ac:dyDescent="0.25">
      <c r="S522" s="10"/>
      <c r="T522" s="10"/>
      <c r="U522" s="10"/>
    </row>
    <row r="523" spans="19:21" x14ac:dyDescent="0.25">
      <c r="S523" s="10"/>
      <c r="T523" s="10"/>
      <c r="U523" s="10"/>
    </row>
    <row r="524" spans="19:21" x14ac:dyDescent="0.25">
      <c r="S524" s="10"/>
      <c r="T524" s="10"/>
      <c r="U524" s="10"/>
    </row>
    <row r="525" spans="19:21" x14ac:dyDescent="0.25">
      <c r="S525" s="10"/>
      <c r="T525" s="10"/>
      <c r="U525" s="10"/>
    </row>
    <row r="526" spans="19:21" x14ac:dyDescent="0.25">
      <c r="S526" s="10"/>
      <c r="T526" s="10"/>
      <c r="U526" s="10"/>
    </row>
    <row r="527" spans="19:21" x14ac:dyDescent="0.25">
      <c r="S527" s="10"/>
      <c r="T527" s="10"/>
      <c r="U527" s="10"/>
    </row>
    <row r="528" spans="19:21" x14ac:dyDescent="0.25">
      <c r="S528" s="10"/>
      <c r="T528" s="10"/>
      <c r="U528" s="10"/>
    </row>
    <row r="529" spans="19:21" x14ac:dyDescent="0.25">
      <c r="S529" s="10"/>
      <c r="T529" s="10"/>
      <c r="U529" s="10"/>
    </row>
    <row r="530" spans="19:21" x14ac:dyDescent="0.25">
      <c r="S530" s="10"/>
      <c r="T530" s="10"/>
      <c r="U530" s="10"/>
    </row>
    <row r="531" spans="19:21" x14ac:dyDescent="0.25">
      <c r="S531" s="10"/>
      <c r="T531" s="10"/>
      <c r="U531" s="10"/>
    </row>
    <row r="532" spans="19:21" x14ac:dyDescent="0.25">
      <c r="S532" s="10"/>
      <c r="T532" s="10"/>
      <c r="U532" s="10"/>
    </row>
    <row r="533" spans="19:21" x14ac:dyDescent="0.25">
      <c r="S533" s="10"/>
      <c r="T533" s="10"/>
      <c r="U533" s="10"/>
    </row>
    <row r="534" spans="19:21" x14ac:dyDescent="0.25">
      <c r="S534" s="10"/>
      <c r="T534" s="10"/>
      <c r="U534" s="10"/>
    </row>
    <row r="535" spans="19:21" x14ac:dyDescent="0.25">
      <c r="S535" s="10"/>
      <c r="T535" s="10"/>
      <c r="U535" s="10"/>
    </row>
    <row r="536" spans="19:21" x14ac:dyDescent="0.25">
      <c r="S536" s="10"/>
      <c r="T536" s="10"/>
      <c r="U536" s="10"/>
    </row>
    <row r="537" spans="19:21" x14ac:dyDescent="0.25">
      <c r="S537" s="10"/>
      <c r="T537" s="10"/>
      <c r="U537" s="10"/>
    </row>
    <row r="538" spans="19:21" x14ac:dyDescent="0.25">
      <c r="S538" s="10"/>
      <c r="T538" s="10"/>
      <c r="U538" s="10"/>
    </row>
    <row r="539" spans="19:21" x14ac:dyDescent="0.25">
      <c r="S539" s="10"/>
      <c r="T539" s="10"/>
      <c r="U539" s="10"/>
    </row>
    <row r="540" spans="19:21" x14ac:dyDescent="0.25">
      <c r="S540" s="10"/>
      <c r="T540" s="10"/>
      <c r="U540" s="10"/>
    </row>
    <row r="541" spans="19:21" x14ac:dyDescent="0.25">
      <c r="S541" s="10"/>
      <c r="T541" s="10"/>
      <c r="U541" s="10"/>
    </row>
    <row r="542" spans="19:21" x14ac:dyDescent="0.25">
      <c r="S542" s="10"/>
      <c r="T542" s="10"/>
      <c r="U542" s="10"/>
    </row>
    <row r="543" spans="19:21" x14ac:dyDescent="0.25">
      <c r="S543" s="10"/>
      <c r="T543" s="10"/>
      <c r="U543" s="10"/>
    </row>
    <row r="544" spans="19:21" x14ac:dyDescent="0.25">
      <c r="S544" s="10"/>
      <c r="T544" s="10"/>
      <c r="U544" s="10"/>
    </row>
    <row r="545" spans="19:21" x14ac:dyDescent="0.25">
      <c r="S545" s="10"/>
      <c r="T545" s="10"/>
      <c r="U545" s="10"/>
    </row>
    <row r="546" spans="19:21" x14ac:dyDescent="0.25">
      <c r="S546" s="10"/>
      <c r="T546" s="10"/>
      <c r="U546" s="10"/>
    </row>
    <row r="547" spans="19:21" x14ac:dyDescent="0.25">
      <c r="S547" s="10"/>
      <c r="T547" s="10"/>
      <c r="U547" s="10"/>
    </row>
    <row r="548" spans="19:21" x14ac:dyDescent="0.25">
      <c r="S548" s="10"/>
      <c r="T548" s="10"/>
      <c r="U548" s="10"/>
    </row>
    <row r="549" spans="19:21" x14ac:dyDescent="0.25">
      <c r="S549" s="10"/>
      <c r="T549" s="10"/>
      <c r="U549" s="10"/>
    </row>
    <row r="550" spans="19:21" x14ac:dyDescent="0.25">
      <c r="S550" s="10"/>
      <c r="T550" s="10"/>
      <c r="U550" s="10"/>
    </row>
    <row r="551" spans="19:21" x14ac:dyDescent="0.25">
      <c r="S551" s="10"/>
      <c r="T551" s="10"/>
      <c r="U551" s="10"/>
    </row>
    <row r="552" spans="19:21" x14ac:dyDescent="0.25">
      <c r="S552" s="10"/>
      <c r="T552" s="10"/>
      <c r="U552" s="10"/>
    </row>
    <row r="553" spans="19:21" x14ac:dyDescent="0.25">
      <c r="S553" s="10"/>
      <c r="T553" s="10"/>
      <c r="U553" s="10"/>
    </row>
    <row r="554" spans="19:21" x14ac:dyDescent="0.25">
      <c r="S554" s="10"/>
      <c r="T554" s="10"/>
      <c r="U554" s="10"/>
    </row>
    <row r="555" spans="19:21" x14ac:dyDescent="0.25">
      <c r="S555" s="10"/>
      <c r="T555" s="10"/>
      <c r="U555" s="10"/>
    </row>
    <row r="556" spans="19:21" x14ac:dyDescent="0.25">
      <c r="S556" s="10"/>
      <c r="T556" s="10"/>
      <c r="U556" s="10"/>
    </row>
    <row r="557" spans="19:21" x14ac:dyDescent="0.25">
      <c r="S557" s="10"/>
      <c r="T557" s="10"/>
      <c r="U557" s="10"/>
    </row>
    <row r="558" spans="19:21" x14ac:dyDescent="0.25">
      <c r="S558" s="10"/>
      <c r="T558" s="10"/>
      <c r="U558" s="10"/>
    </row>
    <row r="559" spans="19:21" x14ac:dyDescent="0.25">
      <c r="S559" s="10"/>
      <c r="T559" s="10"/>
      <c r="U559" s="10"/>
    </row>
    <row r="560" spans="19:21" x14ac:dyDescent="0.25">
      <c r="S560" s="10"/>
      <c r="T560" s="10"/>
      <c r="U560" s="10"/>
    </row>
    <row r="561" spans="19:21" x14ac:dyDescent="0.25">
      <c r="S561" s="10"/>
      <c r="T561" s="10"/>
      <c r="U561" s="10"/>
    </row>
    <row r="562" spans="19:21" x14ac:dyDescent="0.25">
      <c r="S562" s="10"/>
      <c r="T562" s="10"/>
      <c r="U562" s="10"/>
    </row>
    <row r="563" spans="19:21" x14ac:dyDescent="0.25">
      <c r="S563" s="10"/>
      <c r="T563" s="10"/>
      <c r="U563" s="10"/>
    </row>
    <row r="564" spans="19:21" x14ac:dyDescent="0.25">
      <c r="S564" s="10"/>
      <c r="T564" s="10"/>
      <c r="U564" s="10"/>
    </row>
    <row r="565" spans="19:21" x14ac:dyDescent="0.25">
      <c r="S565" s="10"/>
      <c r="T565" s="10"/>
      <c r="U565" s="10"/>
    </row>
    <row r="566" spans="19:21" x14ac:dyDescent="0.25">
      <c r="S566" s="10"/>
      <c r="T566" s="10"/>
      <c r="U566" s="10"/>
    </row>
    <row r="567" spans="19:21" x14ac:dyDescent="0.25">
      <c r="S567" s="10"/>
      <c r="T567" s="10"/>
      <c r="U567" s="10"/>
    </row>
    <row r="568" spans="19:21" x14ac:dyDescent="0.25">
      <c r="S568" s="10"/>
      <c r="T568" s="10"/>
      <c r="U568" s="10"/>
    </row>
    <row r="569" spans="19:21" x14ac:dyDescent="0.25">
      <c r="S569" s="10"/>
      <c r="T569" s="10"/>
      <c r="U569" s="10"/>
    </row>
    <row r="570" spans="19:21" x14ac:dyDescent="0.25">
      <c r="S570" s="10"/>
      <c r="T570" s="10"/>
      <c r="U570" s="10"/>
    </row>
    <row r="571" spans="19:21" x14ac:dyDescent="0.25">
      <c r="S571" s="10"/>
      <c r="T571" s="10"/>
      <c r="U571" s="10"/>
    </row>
    <row r="572" spans="19:21" x14ac:dyDescent="0.25">
      <c r="S572" s="10"/>
      <c r="T572" s="10"/>
      <c r="U572" s="10"/>
    </row>
    <row r="573" spans="19:21" x14ac:dyDescent="0.25">
      <c r="S573" s="10"/>
      <c r="T573" s="10"/>
      <c r="U573" s="10"/>
    </row>
    <row r="574" spans="19:21" x14ac:dyDescent="0.25">
      <c r="S574" s="10"/>
      <c r="T574" s="10"/>
      <c r="U574" s="10"/>
    </row>
  </sheetData>
  <sheetProtection password="A6BA" sheet="1" objects="1" scenarios="1" sort="0" autoFilter="0" pivotTables="0"/>
  <mergeCells count="15">
    <mergeCell ref="AD6:AG6"/>
    <mergeCell ref="AH6:AK6"/>
    <mergeCell ref="AL6:AO6"/>
    <mergeCell ref="AP6:AS6"/>
    <mergeCell ref="AT6:AW6"/>
    <mergeCell ref="BV6:BY6"/>
    <mergeCell ref="BZ6:CC6"/>
    <mergeCell ref="Z4:CC4"/>
    <mergeCell ref="AX6:BA6"/>
    <mergeCell ref="BB6:BE6"/>
    <mergeCell ref="BF6:BI6"/>
    <mergeCell ref="BJ6:BM6"/>
    <mergeCell ref="BN6:BQ6"/>
    <mergeCell ref="BR6:BU6"/>
    <mergeCell ref="Z6:AC6"/>
  </mergeCells>
  <conditionalFormatting sqref="S8:T176">
    <cfRule type="cellIs" dxfId="126" priority="139" operator="lessThan">
      <formula>3</formula>
    </cfRule>
  </conditionalFormatting>
  <conditionalFormatting sqref="S8:T176">
    <cfRule type="cellIs" dxfId="125" priority="138" stopIfTrue="1" operator="lessThan">
      <formula>0</formula>
    </cfRule>
  </conditionalFormatting>
  <conditionalFormatting sqref="S429:T434">
    <cfRule type="cellIs" dxfId="124" priority="92" stopIfTrue="1" operator="lessThan">
      <formula>0</formula>
    </cfRule>
  </conditionalFormatting>
  <conditionalFormatting sqref="S435:T574">
    <cfRule type="cellIs" dxfId="123" priority="137" operator="lessThan">
      <formula>3</formula>
    </cfRule>
  </conditionalFormatting>
  <conditionalFormatting sqref="S435:T574">
    <cfRule type="cellIs" dxfId="122" priority="136" stopIfTrue="1" operator="lessThan">
      <formula>0</formula>
    </cfRule>
  </conditionalFormatting>
  <conditionalFormatting sqref="S177:T188">
    <cfRule type="cellIs" dxfId="121" priority="135" operator="lessThan">
      <formula>3</formula>
    </cfRule>
  </conditionalFormatting>
  <conditionalFormatting sqref="S177:T188">
    <cfRule type="cellIs" dxfId="120" priority="134" stopIfTrue="1" operator="lessThan">
      <formula>0</formula>
    </cfRule>
  </conditionalFormatting>
  <conditionalFormatting sqref="S189:T200">
    <cfRule type="cellIs" dxfId="119" priority="133" operator="lessThan">
      <formula>3</formula>
    </cfRule>
  </conditionalFormatting>
  <conditionalFormatting sqref="S189:T200">
    <cfRule type="cellIs" dxfId="118" priority="132" stopIfTrue="1" operator="lessThan">
      <formula>0</formula>
    </cfRule>
  </conditionalFormatting>
  <conditionalFormatting sqref="S201:T212">
    <cfRule type="cellIs" dxfId="117" priority="131" operator="lessThan">
      <formula>3</formula>
    </cfRule>
  </conditionalFormatting>
  <conditionalFormatting sqref="S201:T212">
    <cfRule type="cellIs" dxfId="116" priority="130" stopIfTrue="1" operator="lessThan">
      <formula>0</formula>
    </cfRule>
  </conditionalFormatting>
  <conditionalFormatting sqref="S213:T224">
    <cfRule type="cellIs" dxfId="115" priority="129" operator="lessThan">
      <formula>3</formula>
    </cfRule>
  </conditionalFormatting>
  <conditionalFormatting sqref="S213:T224">
    <cfRule type="cellIs" dxfId="114" priority="128" stopIfTrue="1" operator="lessThan">
      <formula>0</formula>
    </cfRule>
  </conditionalFormatting>
  <conditionalFormatting sqref="S225:T236">
    <cfRule type="cellIs" dxfId="113" priority="127" operator="lessThan">
      <formula>3</formula>
    </cfRule>
  </conditionalFormatting>
  <conditionalFormatting sqref="S225:T236">
    <cfRule type="cellIs" dxfId="112" priority="126" stopIfTrue="1" operator="lessThan">
      <formula>0</formula>
    </cfRule>
  </conditionalFormatting>
  <conditionalFormatting sqref="S237:T248">
    <cfRule type="cellIs" dxfId="111" priority="125" operator="lessThan">
      <formula>3</formula>
    </cfRule>
  </conditionalFormatting>
  <conditionalFormatting sqref="S237:T248">
    <cfRule type="cellIs" dxfId="110" priority="124" stopIfTrue="1" operator="lessThan">
      <formula>0</formula>
    </cfRule>
  </conditionalFormatting>
  <conditionalFormatting sqref="S249:T260">
    <cfRule type="cellIs" dxfId="109" priority="123" operator="lessThan">
      <formula>3</formula>
    </cfRule>
  </conditionalFormatting>
  <conditionalFormatting sqref="S249:T260">
    <cfRule type="cellIs" dxfId="108" priority="122" stopIfTrue="1" operator="lessThan">
      <formula>0</formula>
    </cfRule>
  </conditionalFormatting>
  <conditionalFormatting sqref="S261:T272">
    <cfRule type="cellIs" dxfId="107" priority="121" operator="lessThan">
      <formula>3</formula>
    </cfRule>
  </conditionalFormatting>
  <conditionalFormatting sqref="S261:T272">
    <cfRule type="cellIs" dxfId="106" priority="120" stopIfTrue="1" operator="lessThan">
      <formula>0</formula>
    </cfRule>
  </conditionalFormatting>
  <conditionalFormatting sqref="S273:T284">
    <cfRule type="cellIs" dxfId="105" priority="119" operator="lessThan">
      <formula>3</formula>
    </cfRule>
  </conditionalFormatting>
  <conditionalFormatting sqref="S273:T284">
    <cfRule type="cellIs" dxfId="104" priority="118" stopIfTrue="1" operator="lessThan">
      <formula>0</formula>
    </cfRule>
  </conditionalFormatting>
  <conditionalFormatting sqref="S285:T296">
    <cfRule type="cellIs" dxfId="103" priority="117" operator="lessThan">
      <formula>3</formula>
    </cfRule>
  </conditionalFormatting>
  <conditionalFormatting sqref="S285:T296">
    <cfRule type="cellIs" dxfId="102" priority="116" stopIfTrue="1" operator="lessThan">
      <formula>0</formula>
    </cfRule>
  </conditionalFormatting>
  <conditionalFormatting sqref="S297:T308">
    <cfRule type="cellIs" dxfId="101" priority="115" operator="lessThan">
      <formula>3</formula>
    </cfRule>
  </conditionalFormatting>
  <conditionalFormatting sqref="S297:T308">
    <cfRule type="cellIs" dxfId="100" priority="114" stopIfTrue="1" operator="lessThan">
      <formula>0</formula>
    </cfRule>
  </conditionalFormatting>
  <conditionalFormatting sqref="S309:T320">
    <cfRule type="cellIs" dxfId="99" priority="113" operator="lessThan">
      <formula>3</formula>
    </cfRule>
  </conditionalFormatting>
  <conditionalFormatting sqref="S309:T320">
    <cfRule type="cellIs" dxfId="98" priority="112" stopIfTrue="1" operator="lessThan">
      <formula>0</formula>
    </cfRule>
  </conditionalFormatting>
  <conditionalFormatting sqref="S321:T332">
    <cfRule type="cellIs" dxfId="97" priority="111" operator="lessThan">
      <formula>3</formula>
    </cfRule>
  </conditionalFormatting>
  <conditionalFormatting sqref="S321:T332">
    <cfRule type="cellIs" dxfId="96" priority="110" stopIfTrue="1" operator="lessThan">
      <formula>0</formula>
    </cfRule>
  </conditionalFormatting>
  <conditionalFormatting sqref="S333:T344">
    <cfRule type="cellIs" dxfId="95" priority="109" operator="lessThan">
      <formula>3</formula>
    </cfRule>
  </conditionalFormatting>
  <conditionalFormatting sqref="S333:T344">
    <cfRule type="cellIs" dxfId="94" priority="108" stopIfTrue="1" operator="lessThan">
      <formula>0</formula>
    </cfRule>
  </conditionalFormatting>
  <conditionalFormatting sqref="S345:T356">
    <cfRule type="cellIs" dxfId="93" priority="107" operator="lessThan">
      <formula>3</formula>
    </cfRule>
  </conditionalFormatting>
  <conditionalFormatting sqref="S345:T356">
    <cfRule type="cellIs" dxfId="92" priority="106" stopIfTrue="1" operator="lessThan">
      <formula>0</formula>
    </cfRule>
  </conditionalFormatting>
  <conditionalFormatting sqref="S357:T368">
    <cfRule type="cellIs" dxfId="91" priority="105" operator="lessThan">
      <formula>3</formula>
    </cfRule>
  </conditionalFormatting>
  <conditionalFormatting sqref="S357:T368">
    <cfRule type="cellIs" dxfId="90" priority="104" stopIfTrue="1" operator="lessThan">
      <formula>0</formula>
    </cfRule>
  </conditionalFormatting>
  <conditionalFormatting sqref="S369:T380">
    <cfRule type="cellIs" dxfId="89" priority="103" operator="lessThan">
      <formula>3</formula>
    </cfRule>
  </conditionalFormatting>
  <conditionalFormatting sqref="S369:T380">
    <cfRule type="cellIs" dxfId="88" priority="102" stopIfTrue="1" operator="lessThan">
      <formula>0</formula>
    </cfRule>
  </conditionalFormatting>
  <conditionalFormatting sqref="S381:T392">
    <cfRule type="cellIs" dxfId="87" priority="101" operator="lessThan">
      <formula>3</formula>
    </cfRule>
  </conditionalFormatting>
  <conditionalFormatting sqref="S381:T392">
    <cfRule type="cellIs" dxfId="86" priority="100" stopIfTrue="1" operator="lessThan">
      <formula>0</formula>
    </cfRule>
  </conditionalFormatting>
  <conditionalFormatting sqref="S393:T404">
    <cfRule type="cellIs" dxfId="85" priority="99" operator="lessThan">
      <formula>3</formula>
    </cfRule>
  </conditionalFormatting>
  <conditionalFormatting sqref="S393:T404">
    <cfRule type="cellIs" dxfId="84" priority="98" stopIfTrue="1" operator="lessThan">
      <formula>0</formula>
    </cfRule>
  </conditionalFormatting>
  <conditionalFormatting sqref="S405:T416">
    <cfRule type="cellIs" dxfId="83" priority="97" operator="lessThan">
      <formula>3</formula>
    </cfRule>
  </conditionalFormatting>
  <conditionalFormatting sqref="S405:T416">
    <cfRule type="cellIs" dxfId="82" priority="96" stopIfTrue="1" operator="lessThan">
      <formula>0</formula>
    </cfRule>
  </conditionalFormatting>
  <conditionalFormatting sqref="S417:T428">
    <cfRule type="cellIs" dxfId="81" priority="95" operator="lessThan">
      <formula>3</formula>
    </cfRule>
  </conditionalFormatting>
  <conditionalFormatting sqref="S417:T428">
    <cfRule type="cellIs" dxfId="80" priority="94" stopIfTrue="1" operator="lessThan">
      <formula>0</formula>
    </cfRule>
  </conditionalFormatting>
  <conditionalFormatting sqref="S429:T434">
    <cfRule type="cellIs" dxfId="79" priority="93" operator="lessThan">
      <formula>3</formula>
    </cfRule>
  </conditionalFormatting>
  <conditionalFormatting sqref="S7:T7">
    <cfRule type="cellIs" dxfId="78" priority="91" operator="lessThan">
      <formula>3</formula>
    </cfRule>
  </conditionalFormatting>
  <conditionalFormatting sqref="S7:T7">
    <cfRule type="cellIs" dxfId="77" priority="90" stopIfTrue="1" operator="lessThan">
      <formula>0</formula>
    </cfRule>
  </conditionalFormatting>
  <conditionalFormatting sqref="N1:N104857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:N173">
    <cfRule type="containsText" dxfId="76" priority="88" operator="containsText" text="&quot;Functional&quot;">
      <formula>NOT(ISERROR(SEARCH("""Functional""",N8)))</formula>
    </cfRule>
  </conditionalFormatting>
  <conditionalFormatting sqref="S1:T1048576">
    <cfRule type="colorScale" priority="87">
      <colorScale>
        <cfvo type="min"/>
        <cfvo type="max"/>
        <color rgb="FFFF7128"/>
        <color rgb="FFFFEF9C"/>
      </colorScale>
    </cfRule>
  </conditionalFormatting>
  <conditionalFormatting sqref="U201:U212">
    <cfRule type="cellIs" dxfId="75" priority="76" operator="lessThan">
      <formula>3</formula>
    </cfRule>
  </conditionalFormatting>
  <conditionalFormatting sqref="U201:U212">
    <cfRule type="cellIs" dxfId="74" priority="75" stopIfTrue="1" operator="lessThan">
      <formula>0</formula>
    </cfRule>
  </conditionalFormatting>
  <conditionalFormatting sqref="U213:U224">
    <cfRule type="cellIs" dxfId="73" priority="74" operator="lessThan">
      <formula>3</formula>
    </cfRule>
  </conditionalFormatting>
  <conditionalFormatting sqref="U213:U224">
    <cfRule type="cellIs" dxfId="72" priority="73" stopIfTrue="1" operator="lessThan">
      <formula>0</formula>
    </cfRule>
  </conditionalFormatting>
  <conditionalFormatting sqref="U225:U236">
    <cfRule type="cellIs" dxfId="71" priority="72" operator="lessThan">
      <formula>3</formula>
    </cfRule>
  </conditionalFormatting>
  <conditionalFormatting sqref="U225:U236">
    <cfRule type="cellIs" dxfId="70" priority="71" stopIfTrue="1" operator="lessThan">
      <formula>0</formula>
    </cfRule>
  </conditionalFormatting>
  <conditionalFormatting sqref="U237:U248">
    <cfRule type="cellIs" dxfId="69" priority="70" operator="lessThan">
      <formula>3</formula>
    </cfRule>
  </conditionalFormatting>
  <conditionalFormatting sqref="U237:U248">
    <cfRule type="cellIs" dxfId="68" priority="69" stopIfTrue="1" operator="lessThan">
      <formula>0</formula>
    </cfRule>
  </conditionalFormatting>
  <conditionalFormatting sqref="U249:U260">
    <cfRule type="cellIs" dxfId="67" priority="68" operator="lessThan">
      <formula>3</formula>
    </cfRule>
  </conditionalFormatting>
  <conditionalFormatting sqref="U249:U260">
    <cfRule type="cellIs" dxfId="66" priority="67" stopIfTrue="1" operator="lessThan">
      <formula>0</formula>
    </cfRule>
  </conditionalFormatting>
  <conditionalFormatting sqref="U261:U272">
    <cfRule type="cellIs" dxfId="65" priority="66" operator="lessThan">
      <formula>3</formula>
    </cfRule>
  </conditionalFormatting>
  <conditionalFormatting sqref="U261:U272">
    <cfRule type="cellIs" dxfId="64" priority="65" stopIfTrue="1" operator="lessThan">
      <formula>0</formula>
    </cfRule>
  </conditionalFormatting>
  <conditionalFormatting sqref="U273:U284">
    <cfRule type="cellIs" dxfId="63" priority="64" operator="lessThan">
      <formula>3</formula>
    </cfRule>
  </conditionalFormatting>
  <conditionalFormatting sqref="U273:U284">
    <cfRule type="cellIs" dxfId="62" priority="63" stopIfTrue="1" operator="lessThan">
      <formula>0</formula>
    </cfRule>
  </conditionalFormatting>
  <conditionalFormatting sqref="U285:U296">
    <cfRule type="cellIs" dxfId="61" priority="62" operator="lessThan">
      <formula>3</formula>
    </cfRule>
  </conditionalFormatting>
  <conditionalFormatting sqref="U285:U296">
    <cfRule type="cellIs" dxfId="60" priority="61" stopIfTrue="1" operator="lessThan">
      <formula>0</formula>
    </cfRule>
  </conditionalFormatting>
  <conditionalFormatting sqref="U297:U308">
    <cfRule type="cellIs" dxfId="59" priority="60" operator="lessThan">
      <formula>3</formula>
    </cfRule>
  </conditionalFormatting>
  <conditionalFormatting sqref="U297:U308">
    <cfRule type="cellIs" dxfId="58" priority="59" stopIfTrue="1" operator="lessThan">
      <formula>0</formula>
    </cfRule>
  </conditionalFormatting>
  <conditionalFormatting sqref="U309:U320">
    <cfRule type="cellIs" dxfId="57" priority="58" operator="lessThan">
      <formula>3</formula>
    </cfRule>
  </conditionalFormatting>
  <conditionalFormatting sqref="U309:U320">
    <cfRule type="cellIs" dxfId="56" priority="57" stopIfTrue="1" operator="lessThan">
      <formula>0</formula>
    </cfRule>
  </conditionalFormatting>
  <conditionalFormatting sqref="U321:U332">
    <cfRule type="cellIs" dxfId="55" priority="56" operator="lessThan">
      <formula>3</formula>
    </cfRule>
  </conditionalFormatting>
  <conditionalFormatting sqref="U321:U332">
    <cfRule type="cellIs" dxfId="54" priority="55" stopIfTrue="1" operator="lessThan">
      <formula>0</formula>
    </cfRule>
  </conditionalFormatting>
  <conditionalFormatting sqref="U333:U344">
    <cfRule type="cellIs" dxfId="53" priority="54" operator="lessThan">
      <formula>3</formula>
    </cfRule>
  </conditionalFormatting>
  <conditionalFormatting sqref="U333:U344">
    <cfRule type="cellIs" dxfId="52" priority="53" stopIfTrue="1" operator="lessThan">
      <formula>0</formula>
    </cfRule>
  </conditionalFormatting>
  <conditionalFormatting sqref="U345:U356">
    <cfRule type="cellIs" dxfId="51" priority="52" operator="lessThan">
      <formula>3</formula>
    </cfRule>
  </conditionalFormatting>
  <conditionalFormatting sqref="U345:U356">
    <cfRule type="cellIs" dxfId="50" priority="51" stopIfTrue="1" operator="lessThan">
      <formula>0</formula>
    </cfRule>
  </conditionalFormatting>
  <conditionalFormatting sqref="U357:U368">
    <cfRule type="cellIs" dxfId="49" priority="50" operator="lessThan">
      <formula>3</formula>
    </cfRule>
  </conditionalFormatting>
  <conditionalFormatting sqref="U357:U368">
    <cfRule type="cellIs" dxfId="48" priority="49" stopIfTrue="1" operator="lessThan">
      <formula>0</formula>
    </cfRule>
  </conditionalFormatting>
  <conditionalFormatting sqref="U369:U380">
    <cfRule type="cellIs" dxfId="47" priority="48" operator="lessThan">
      <formula>3</formula>
    </cfRule>
  </conditionalFormatting>
  <conditionalFormatting sqref="U369:U380">
    <cfRule type="cellIs" dxfId="46" priority="47" stopIfTrue="1" operator="lessThan">
      <formula>0</formula>
    </cfRule>
  </conditionalFormatting>
  <conditionalFormatting sqref="U381:U392">
    <cfRule type="cellIs" dxfId="45" priority="46" operator="lessThan">
      <formula>3</formula>
    </cfRule>
  </conditionalFormatting>
  <conditionalFormatting sqref="U381:U392">
    <cfRule type="cellIs" dxfId="44" priority="45" stopIfTrue="1" operator="lessThan">
      <formula>0</formula>
    </cfRule>
  </conditionalFormatting>
  <conditionalFormatting sqref="U393:U404">
    <cfRule type="cellIs" dxfId="43" priority="44" operator="lessThan">
      <formula>3</formula>
    </cfRule>
  </conditionalFormatting>
  <conditionalFormatting sqref="U393:U404">
    <cfRule type="cellIs" dxfId="42" priority="43" stopIfTrue="1" operator="lessThan">
      <formula>0</formula>
    </cfRule>
  </conditionalFormatting>
  <conditionalFormatting sqref="U405:U416">
    <cfRule type="cellIs" dxfId="41" priority="42" operator="lessThan">
      <formula>3</formula>
    </cfRule>
  </conditionalFormatting>
  <conditionalFormatting sqref="U405:U416">
    <cfRule type="cellIs" dxfId="40" priority="41" stopIfTrue="1" operator="lessThan">
      <formula>0</formula>
    </cfRule>
  </conditionalFormatting>
  <conditionalFormatting sqref="U417:U428">
    <cfRule type="cellIs" dxfId="39" priority="40" operator="lessThan">
      <formula>3</formula>
    </cfRule>
  </conditionalFormatting>
  <conditionalFormatting sqref="U417:U428">
    <cfRule type="cellIs" dxfId="38" priority="39" stopIfTrue="1" operator="lessThan">
      <formula>0</formula>
    </cfRule>
  </conditionalFormatting>
  <conditionalFormatting sqref="U429:U434">
    <cfRule type="cellIs" dxfId="37" priority="38" operator="lessThan">
      <formula>3</formula>
    </cfRule>
  </conditionalFormatting>
  <conditionalFormatting sqref="U429:U434">
    <cfRule type="cellIs" dxfId="36" priority="37" stopIfTrue="1" operator="lessThan">
      <formula>0</formula>
    </cfRule>
  </conditionalFormatting>
  <conditionalFormatting sqref="U7">
    <cfRule type="cellIs" dxfId="35" priority="36" operator="lessThan">
      <formula>3</formula>
    </cfRule>
  </conditionalFormatting>
  <conditionalFormatting sqref="U7">
    <cfRule type="cellIs" dxfId="34" priority="35" stopIfTrue="1" operator="lessThan">
      <formula>0</formula>
    </cfRule>
  </conditionalFormatting>
  <conditionalFormatting sqref="S8:T173">
    <cfRule type="colorScale" priority="85">
      <colorScale>
        <cfvo type="num" val="0"/>
        <cfvo type="num" val="5"/>
        <cfvo type="num" val="30"/>
        <color rgb="FFFF7128"/>
        <color rgb="FFFFEB84"/>
        <color rgb="FF63BE7B"/>
      </colorScale>
    </cfRule>
    <cfRule type="colorScale" priority="86">
      <colorScale>
        <cfvo type="num" val="&quot;&lt;=0&quot;"/>
        <cfvo type="num" val="5"/>
        <cfvo type="num" val="10"/>
        <color rgb="FFFF0000"/>
        <color rgb="FFFFEB84"/>
        <color rgb="FF63BE7B"/>
      </colorScale>
    </cfRule>
  </conditionalFormatting>
  <conditionalFormatting sqref="U8:U176">
    <cfRule type="cellIs" dxfId="33" priority="84" operator="lessThan">
      <formula>3</formula>
    </cfRule>
  </conditionalFormatting>
  <conditionalFormatting sqref="U8:U176">
    <cfRule type="cellIs" dxfId="32" priority="83" stopIfTrue="1" operator="lessThan">
      <formula>0</formula>
    </cfRule>
  </conditionalFormatting>
  <conditionalFormatting sqref="U435:U574">
    <cfRule type="cellIs" dxfId="31" priority="82" operator="lessThan">
      <formula>3</formula>
    </cfRule>
  </conditionalFormatting>
  <conditionalFormatting sqref="U435:U574">
    <cfRule type="cellIs" dxfId="30" priority="81" stopIfTrue="1" operator="lessThan">
      <formula>0</formula>
    </cfRule>
  </conditionalFormatting>
  <conditionalFormatting sqref="U177:U188">
    <cfRule type="cellIs" dxfId="29" priority="80" operator="lessThan">
      <formula>3</formula>
    </cfRule>
  </conditionalFormatting>
  <conditionalFormatting sqref="U177:U188">
    <cfRule type="cellIs" dxfId="28" priority="79" stopIfTrue="1" operator="lessThan">
      <formula>0</formula>
    </cfRule>
  </conditionalFormatting>
  <conditionalFormatting sqref="U189:U200">
    <cfRule type="cellIs" dxfId="27" priority="78" operator="lessThan">
      <formula>3</formula>
    </cfRule>
  </conditionalFormatting>
  <conditionalFormatting sqref="U189:U200">
    <cfRule type="cellIs" dxfId="26" priority="77" stopIfTrue="1" operator="lessThan">
      <formula>0</formula>
    </cfRule>
  </conditionalFormatting>
  <conditionalFormatting sqref="U1:U1048576">
    <cfRule type="colorScale" priority="34">
      <colorScale>
        <cfvo type="min"/>
        <cfvo type="max"/>
        <color rgb="FFFF7128"/>
        <color rgb="FFFFEF9C"/>
      </colorScale>
    </cfRule>
  </conditionalFormatting>
  <conditionalFormatting sqref="U8:U173">
    <cfRule type="colorScale" priority="32">
      <colorScale>
        <cfvo type="num" val="0"/>
        <cfvo type="num" val="5"/>
        <cfvo type="num" val="30"/>
        <color rgb="FFFF7128"/>
        <color rgb="FFFFEB84"/>
        <color rgb="FF63BE7B"/>
      </colorScale>
    </cfRule>
    <cfRule type="colorScale" priority="33">
      <colorScale>
        <cfvo type="num" val="&quot;&lt;=0&quot;"/>
        <cfvo type="num" val="5"/>
        <cfvo type="num" val="10"/>
        <color rgb="FFFF0000"/>
        <color rgb="FFFFEB84"/>
        <color rgb="FF63BE7B"/>
      </colorScale>
    </cfRule>
  </conditionalFormatting>
  <conditionalFormatting sqref="V1:V1048576">
    <cfRule type="colorScale" priority="31">
      <colorScale>
        <cfvo type="num" val="0"/>
        <cfvo type="num" val="10"/>
        <cfvo type="num" val="20"/>
        <color rgb="FFFF7128"/>
        <color rgb="FFFFEB84"/>
        <color rgb="FF63BE7B"/>
      </colorScale>
    </cfRule>
  </conditionalFormatting>
  <conditionalFormatting sqref="W1:W1048576">
    <cfRule type="colorScale" priority="30">
      <colorScale>
        <cfvo type="num" val="0"/>
        <cfvo type="num" val="10"/>
        <cfvo type="num" val="20"/>
        <color rgb="FFFF7128"/>
        <color rgb="FFFFEB84"/>
        <color rgb="FF63BE7B"/>
      </colorScale>
    </cfRule>
  </conditionalFormatting>
  <conditionalFormatting sqref="Y1:Y1048576">
    <cfRule type="colorScale" priority="28">
      <colorScale>
        <cfvo type="num" val="0"/>
        <cfvo type="num" val="5"/>
        <cfvo type="num" val="10"/>
        <color rgb="FFFF7128"/>
        <color rgb="FFFFEB84"/>
        <color rgb="FF63BE7B"/>
      </colorScale>
    </cfRule>
    <cfRule type="colorScale" priority="29">
      <colorScale>
        <cfvo type="num" val="0"/>
        <cfvo type="num" val="10"/>
        <cfvo type="num" val="20"/>
        <color rgb="FFFF7128"/>
        <color rgb="FFFFEB84"/>
        <color rgb="FF63BE7B"/>
      </colorScale>
    </cfRule>
  </conditionalFormatting>
  <conditionalFormatting sqref="X1:X1048576">
    <cfRule type="colorScale" priority="26">
      <colorScale>
        <cfvo type="num" val="0"/>
        <cfvo type="num" val="5"/>
        <cfvo type="num" val="10"/>
        <color rgb="FFFF7128"/>
        <color rgb="FFFFEB84"/>
        <color rgb="FF63BE7B"/>
      </colorScale>
    </cfRule>
    <cfRule type="colorScale" priority="27">
      <colorScale>
        <cfvo type="num" val="0"/>
        <cfvo type="num" val="10"/>
        <cfvo type="num" val="20"/>
        <color rgb="FFFF7128"/>
        <color rgb="FFFFEB84"/>
        <color rgb="FF63BE7B"/>
      </colorScale>
    </cfRule>
  </conditionalFormatting>
  <conditionalFormatting sqref="Z8:AC173">
    <cfRule type="cellIs" dxfId="25" priority="25" operator="greaterThan">
      <formula>0</formula>
    </cfRule>
  </conditionalFormatting>
  <conditionalFormatting sqref="AD8:AG173">
    <cfRule type="cellIs" dxfId="24" priority="24" operator="greaterThan">
      <formula>0</formula>
    </cfRule>
  </conditionalFormatting>
  <conditionalFormatting sqref="AH8:AK173">
    <cfRule type="cellIs" dxfId="23" priority="23" operator="greaterThan">
      <formula>0</formula>
    </cfRule>
  </conditionalFormatting>
  <conditionalFormatting sqref="AL8:AN173">
    <cfRule type="cellIs" dxfId="22" priority="22" operator="greaterThan">
      <formula>0</formula>
    </cfRule>
  </conditionalFormatting>
  <conditionalFormatting sqref="AO8:AO173">
    <cfRule type="cellIs" dxfId="21" priority="21" operator="greaterThan">
      <formula>0</formula>
    </cfRule>
  </conditionalFormatting>
  <conditionalFormatting sqref="AP8:AR173">
    <cfRule type="cellIs" dxfId="20" priority="20" operator="greaterThan">
      <formula>0</formula>
    </cfRule>
  </conditionalFormatting>
  <conditionalFormatting sqref="AS8:AS173">
    <cfRule type="cellIs" dxfId="19" priority="19" operator="greaterThan">
      <formula>0</formula>
    </cfRule>
  </conditionalFormatting>
  <conditionalFormatting sqref="AT8:AV173">
    <cfRule type="cellIs" dxfId="18" priority="18" operator="greaterThan">
      <formula>0</formula>
    </cfRule>
  </conditionalFormatting>
  <conditionalFormatting sqref="AW8:AW173">
    <cfRule type="cellIs" dxfId="17" priority="17" operator="greaterThan">
      <formula>0</formula>
    </cfRule>
  </conditionalFormatting>
  <conditionalFormatting sqref="AX8:AZ173">
    <cfRule type="cellIs" dxfId="16" priority="16" operator="greaterThan">
      <formula>0</formula>
    </cfRule>
  </conditionalFormatting>
  <conditionalFormatting sqref="BA8:BA173">
    <cfRule type="cellIs" dxfId="15" priority="15" operator="greaterThan">
      <formula>0</formula>
    </cfRule>
  </conditionalFormatting>
  <conditionalFormatting sqref="BB8:BD173">
    <cfRule type="cellIs" dxfId="14" priority="14" operator="greaterThan">
      <formula>0</formula>
    </cfRule>
  </conditionalFormatting>
  <conditionalFormatting sqref="BU8:BU173">
    <cfRule type="cellIs" dxfId="13" priority="5" operator="greaterThan">
      <formula>0</formula>
    </cfRule>
  </conditionalFormatting>
  <conditionalFormatting sqref="BE8:BE173">
    <cfRule type="cellIs" dxfId="12" priority="13" operator="greaterThan">
      <formula>0</formula>
    </cfRule>
  </conditionalFormatting>
  <conditionalFormatting sqref="BF8:BH173">
    <cfRule type="cellIs" dxfId="11" priority="12" operator="greaterThan">
      <formula>0</formula>
    </cfRule>
  </conditionalFormatting>
  <conditionalFormatting sqref="BI8:BI173">
    <cfRule type="cellIs" dxfId="10" priority="11" operator="greaterThan">
      <formula>0</formula>
    </cfRule>
  </conditionalFormatting>
  <conditionalFormatting sqref="BJ8:BL173">
    <cfRule type="cellIs" dxfId="9" priority="10" operator="greaterThan">
      <formula>0</formula>
    </cfRule>
  </conditionalFormatting>
  <conditionalFormatting sqref="BM8:BM173">
    <cfRule type="cellIs" dxfId="8" priority="9" operator="greaterThan">
      <formula>0</formula>
    </cfRule>
  </conditionalFormatting>
  <conditionalFormatting sqref="BN8:BP173">
    <cfRule type="cellIs" dxfId="7" priority="8" operator="greaterThan">
      <formula>0</formula>
    </cfRule>
  </conditionalFormatting>
  <conditionalFormatting sqref="BQ8:BQ173">
    <cfRule type="cellIs" dxfId="6" priority="7" operator="greaterThan">
      <formula>0</formula>
    </cfRule>
  </conditionalFormatting>
  <conditionalFormatting sqref="BR8:BT173">
    <cfRule type="cellIs" dxfId="5" priority="6" operator="greaterThan">
      <formula>0</formula>
    </cfRule>
  </conditionalFormatting>
  <conditionalFormatting sqref="BY8:BY173">
    <cfRule type="cellIs" dxfId="4" priority="3" operator="greaterThan">
      <formula>0</formula>
    </cfRule>
  </conditionalFormatting>
  <conditionalFormatting sqref="BV8:BX173">
    <cfRule type="cellIs" dxfId="3" priority="4" operator="greaterThan">
      <formula>0</formula>
    </cfRule>
  </conditionalFormatting>
  <conditionalFormatting sqref="CC8:CC173">
    <cfRule type="cellIs" dxfId="2" priority="1" operator="greaterThan">
      <formula>0</formula>
    </cfRule>
  </conditionalFormatting>
  <conditionalFormatting sqref="BZ8:CB173">
    <cfRule type="cellIs" dxfId="1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0" operator="containsText" id="{924FACCF-A7E9-448A-AEC3-1D3AF4F574AA}">
            <xm:f>NOT(ISERROR(SEARCH(#REF!,N8)))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N8:N173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 Sources_Asset_Register_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atengdem</dc:creator>
  <cp:lastModifiedBy>Jeremiah atengdem</cp:lastModifiedBy>
  <dcterms:created xsi:type="dcterms:W3CDTF">2018-04-06T09:26:18Z</dcterms:created>
  <dcterms:modified xsi:type="dcterms:W3CDTF">2018-04-06T09:30:58Z</dcterms:modified>
</cp:coreProperties>
</file>